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xr:revisionPtr revIDLastSave="0" documentId="13_ncr:1_{A2C3A54D-2B5E-467D-BFD9-EA3C6DD838FC}" xr6:coauthVersionLast="47" xr6:coauthVersionMax="47" xr10:uidLastSave="{00000000-0000-0000-0000-000000000000}"/>
  <bookViews>
    <workbookView xWindow="22065" yWindow="3060" windowWidth="25785" windowHeight="14220" xr2:uid="{04617960-705C-436B-AFA2-6E1B2E41189A}"/>
  </bookViews>
  <sheets>
    <sheet name="FY 2024 CR Table 1" sheetId="1" r:id="rId1"/>
  </sheets>
  <definedNames>
    <definedName name="_xlnm.Print_Area" localSheetId="0">'FY 2024 CR Table 1'!$A$1:$D$171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8" i="1" l="1"/>
  <c r="D161" i="1"/>
  <c r="D154" i="1"/>
  <c r="D148" i="1"/>
  <c r="D142" i="1"/>
  <c r="D136" i="1"/>
  <c r="D130" i="1"/>
  <c r="D124" i="1"/>
  <c r="D117" i="1"/>
  <c r="D107" i="1"/>
  <c r="D106" i="1"/>
  <c r="D105" i="1"/>
  <c r="D102" i="1"/>
  <c r="D97" i="1"/>
  <c r="D98" i="1" s="1"/>
  <c r="D92" i="1"/>
  <c r="D93" i="1" s="1"/>
  <c r="D88" i="1"/>
  <c r="D89" i="1" s="1"/>
  <c r="D85" i="1"/>
  <c r="D79" i="1"/>
  <c r="D81" i="1" s="1"/>
  <c r="D75" i="1"/>
  <c r="D76" i="1" s="1"/>
  <c r="D70" i="1"/>
  <c r="D72" i="1" s="1"/>
  <c r="D64" i="1"/>
  <c r="D65" i="1" s="1"/>
  <c r="D67" i="1" s="1"/>
  <c r="D59" i="1"/>
  <c r="D58" i="1"/>
  <c r="D57" i="1"/>
  <c r="D53" i="1"/>
  <c r="D54" i="1" s="1"/>
  <c r="D46" i="1"/>
  <c r="D45" i="1"/>
  <c r="D44" i="1"/>
  <c r="D30" i="1"/>
  <c r="D29" i="1"/>
  <c r="D25" i="1"/>
  <c r="D27" i="1" s="1"/>
  <c r="D21" i="1"/>
  <c r="D22" i="1" s="1"/>
  <c r="D16" i="1"/>
  <c r="D15" i="1" s="1"/>
  <c r="D18" i="1" s="1"/>
  <c r="D10" i="1"/>
  <c r="D9" i="1" s="1"/>
  <c r="D170" i="1" l="1"/>
  <c r="D50" i="1"/>
  <c r="D39" i="1"/>
  <c r="D41" i="1" s="1"/>
  <c r="D26" i="1"/>
  <c r="D32" i="1" s="1"/>
  <c r="D111" i="1"/>
  <c r="D61" i="1"/>
  <c r="D12" i="1"/>
  <c r="D171" i="1" s="1"/>
</calcChain>
</file>

<file path=xl/sharedStrings.xml><?xml version="1.0" encoding="utf-8"?>
<sst xmlns="http://schemas.openxmlformats.org/spreadsheetml/2006/main" count="139" uniqueCount="62">
  <si>
    <t>FEDERAL TRANSIT ADMINISTRATION</t>
  </si>
  <si>
    <t>TABLE 1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</si>
  <si>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</si>
  <si>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>PROGRAM</t>
  </si>
  <si>
    <t>Section 5303 Metropolitan Transportation Planning Program</t>
  </si>
  <si>
    <t>Total FY 2024 Available</t>
  </si>
  <si>
    <t>Less FY 2024 Oversight</t>
  </si>
  <si>
    <t>Reapportioned Funds</t>
  </si>
  <si>
    <t>Total Available for Allocation</t>
  </si>
  <si>
    <t xml:space="preserve">Section 5304 Statewide Transportation Planning Program </t>
  </si>
  <si>
    <t xml:space="preserve">Less FY 2024 Oversight </t>
  </si>
  <si>
    <t>Transit Oriented Development Planning (Competitive pilot)</t>
  </si>
  <si>
    <t xml:space="preserve">Section 5307 Urbanized Area Formula Program </t>
  </si>
  <si>
    <t>Less FY 2024 State Safety Oversight Program</t>
  </si>
  <si>
    <t>Less FY 2024 Ferry Competitive Program</t>
  </si>
  <si>
    <t>Section 5340 High Density States</t>
  </si>
  <si>
    <t>Section 5340 Growing States</t>
  </si>
  <si>
    <t>Section 5329 State Safety Oversight Program</t>
  </si>
  <si>
    <t>Section 5310 Enhanced Mobility of Seniors and Individuals with Disabilities</t>
  </si>
  <si>
    <t>Less FY 2024 Oversight and Administrative</t>
  </si>
  <si>
    <t>Less FY 2024 Transfer to OIG</t>
  </si>
  <si>
    <t>Reapportioned Funds to Large Urbanized Areas</t>
  </si>
  <si>
    <t>Reapportioned Funds to Small Urbanized Areas</t>
  </si>
  <si>
    <t>Reapportioned Funds to Rural Urbanized Areas</t>
  </si>
  <si>
    <t>Pilot Program for Innovative Coordinated Access and Mobility</t>
  </si>
  <si>
    <t>Section 5311 Rural Area Formula Program</t>
  </si>
  <si>
    <t>Section 5311(b)(3) Rural Transit Assistance Program (RTAP)</t>
  </si>
  <si>
    <t>Less Amount Reserved for National RTAP (15 percent)</t>
  </si>
  <si>
    <t>Section 5311(c)(2)(B) Public Transportation on Indian Reservations Formula</t>
  </si>
  <si>
    <t>Section 5311(c)(2)(A) Public Transportation on Indian Reservations Competitive</t>
  </si>
  <si>
    <t>Section 5311(c)(3) Appalachian Development Public Transportation Assistance Program</t>
  </si>
  <si>
    <t xml:space="preserve">Total Available for Allocation  </t>
  </si>
  <si>
    <t>Section 5312 Public Transportation Innovation-Transit Research</t>
  </si>
  <si>
    <t>Section 5312 (h) Public Transportation Innovation-Component and Low or No Emission Testing</t>
  </si>
  <si>
    <t>Section 5312 Public Transportation Innovation-Transit Cooperative Research</t>
  </si>
  <si>
    <t>Section 5314 Technical Assistance and Workforce Development</t>
  </si>
  <si>
    <t>National Transit Institute</t>
  </si>
  <si>
    <t>Section 5318 Bus Testing Facilities</t>
  </si>
  <si>
    <t xml:space="preserve">Section 5337 State of Good Repair </t>
  </si>
  <si>
    <t>Total FY 2024 Rail Replacement Competitive Grants</t>
  </si>
  <si>
    <t>Reapportioned Funds for Fixed Guideway</t>
  </si>
  <si>
    <t>Reapportioned Funds for Motorbus</t>
  </si>
  <si>
    <t>Total FY 2024 Available High Intensity Fixed Guideway Formula</t>
  </si>
  <si>
    <t>Total FY 2024 Available High Intensity Motorbus Formula</t>
  </si>
  <si>
    <t>Section 5337 State of Good Repair Rail Replacement Competitive Grants</t>
  </si>
  <si>
    <t>Section 5339 Buses and Bus Facilities Formula</t>
  </si>
  <si>
    <t xml:space="preserve">Section 5339 Buses and Bus Facilities Competitive </t>
  </si>
  <si>
    <t>Less FY 2024 Low or No Emission</t>
  </si>
  <si>
    <t>Section 5339(c) Low or No Emission Grants (Competitive)</t>
  </si>
  <si>
    <t>Less FY 2024 Oversight and Admin</t>
  </si>
  <si>
    <t>Division J All Stations Accessibility Program</t>
  </si>
  <si>
    <t>Section 71102 Electric or Low-Emitting Ferry Program</t>
  </si>
  <si>
    <t>Section 71103 Ferry Service for Rural Communities</t>
  </si>
  <si>
    <t>Section 5309 Capital Investment Grants</t>
  </si>
  <si>
    <t>Washington Metropolitan Area Transit Authority (WMATA)</t>
  </si>
  <si>
    <t xml:space="preserve">TOTAL APPROPRIATION (Above Grant Programs) </t>
  </si>
  <si>
    <t xml:space="preserve">TOTAL APPORTIONMENT/ALLOCATION (Above Grant Programs) </t>
  </si>
  <si>
    <t>FY 2024 PARTIAL YEAR (CR) APPROPRIATIONS AND APPORTIONMENTS FOR GRANT PROGRAMS</t>
  </si>
  <si>
    <t>Section 5307 Passenger Ferry Grant Program</t>
  </si>
  <si>
    <t>Deferred Allocation to Urbanized Areas</t>
  </si>
  <si>
    <t>The amounts apportioned in this notice includes funding authorized under the Bipartisan Infrastructure Law, enacted as the Infrastructure Investment and Jobs Act (Pub. L. 117-58), and is based on funding made available under the Further Additional Continuing Appropriations and Other Extensions Act, 2024 (Pub. L. 118-35, Jan. 19, 2024), which provides partial-year spending authority through March 1, 2024.</t>
  </si>
  <si>
    <t>Updated 2/23/2024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</si>
</sst>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i/>
      <sz val="11"/>
      <name val="Arial"/>
      <family val="2"/>
    </font>
    <font>
      <sz val="11"/>
      <name val="Calibri"/>
      <family val="2"/>
      <scheme val="minor"/>
    </font>
    <font>
      <sz val="16"/>
      <name val="Helvetica"/>
      <family val="2"/>
    </font>
    <font>
      <b/>
      <sz val="14"/>
      <color rgb="FFFF0000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1"/>
      <name val="Calibri"/>
      <family val="2"/>
      <scheme val="minor"/>
    </font>
    <font>
      <sz val="14"/>
      <color rgb="FF000000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vertical="center"/>
    </xf>
    <xf numFmtId="7" fontId="0" fillId="0" borderId="0" xfId="1" applyNumberFormat="1" applyFont="1" applyFill="1" applyAlignment="1">
      <alignment vertical="center"/>
    </xf>
    <xf numFmtId="43" fontId="0" fillId="0" borderId="0" xfId="1" applyFont="1" applyFill="1" applyAlignment="1">
      <alignment vertical="center"/>
    </xf>
    <xf numFmtId="7" fontId="0" fillId="0" borderId="0" xfId="1" applyNumberFormat="1" applyFont="1" applyFill="1"/>
    <xf numFmtId="10" fontId="0" fillId="0" borderId="0" xfId="2" applyNumberFormat="1" applyFont="1" applyFill="1"/>
    <xf numFmtId="43" fontId="0" fillId="0" borderId="0" xfId="1" applyFont="1" applyFill="1"/>
    <xf numFmtId="0" fontId="7" fillId="0" borderId="0" xfId="0" applyFont="1"/>
    <xf numFmtId="7" fontId="7" fillId="0" borderId="0" xfId="1" applyNumberFormat="1" applyFont="1" applyFill="1"/>
    <xf numFmtId="43" fontId="7" fillId="0" borderId="0" xfId="1" applyFont="1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7" fontId="8" fillId="0" borderId="3" xfId="1" applyNumberFormat="1" applyFont="1" applyFill="1" applyBorder="1" applyAlignment="1" applyProtection="1">
      <alignment horizontal="center" vertical="center"/>
    </xf>
    <xf numFmtId="0" fontId="10" fillId="0" borderId="10" xfId="0" applyFont="1" applyBorder="1"/>
    <xf numFmtId="0" fontId="10" fillId="0" borderId="0" xfId="0" applyFont="1"/>
    <xf numFmtId="7" fontId="10" fillId="0" borderId="11" xfId="1" applyNumberFormat="1" applyFont="1" applyFill="1" applyBorder="1" applyProtection="1"/>
    <xf numFmtId="164" fontId="10" fillId="0" borderId="0" xfId="0" applyNumberFormat="1" applyFont="1"/>
    <xf numFmtId="37" fontId="11" fillId="0" borderId="10" xfId="0" applyNumberFormat="1" applyFont="1" applyBorder="1"/>
    <xf numFmtId="0" fontId="12" fillId="0" borderId="0" xfId="0" applyFont="1"/>
    <xf numFmtId="0" fontId="6" fillId="0" borderId="10" xfId="0" applyFont="1" applyBorder="1"/>
    <xf numFmtId="0" fontId="12" fillId="0" borderId="10" xfId="0" applyFont="1" applyBorder="1"/>
    <xf numFmtId="0" fontId="11" fillId="0" borderId="10" xfId="0" applyFont="1" applyBorder="1"/>
    <xf numFmtId="0" fontId="6" fillId="0" borderId="0" xfId="0" applyFont="1"/>
    <xf numFmtId="0" fontId="12" fillId="0" borderId="14" xfId="0" applyFont="1" applyBorder="1"/>
    <xf numFmtId="0" fontId="12" fillId="0" borderId="15" xfId="0" applyFont="1" applyBorder="1"/>
    <xf numFmtId="0" fontId="11" fillId="0" borderId="14" xfId="0" applyFont="1" applyBorder="1"/>
    <xf numFmtId="0" fontId="6" fillId="0" borderId="0" xfId="0" applyFont="1" applyAlignment="1">
      <alignment wrapText="1"/>
    </xf>
    <xf numFmtId="0" fontId="17" fillId="0" borderId="0" xfId="0" applyFont="1"/>
    <xf numFmtId="0" fontId="15" fillId="0" borderId="15" xfId="0" applyFont="1" applyBorder="1"/>
    <xf numFmtId="0" fontId="15" fillId="0" borderId="15" xfId="0" applyFont="1" applyBorder="1" applyAlignment="1">
      <alignment wrapText="1"/>
    </xf>
    <xf numFmtId="0" fontId="12" fillId="0" borderId="21" xfId="0" applyFont="1" applyBorder="1"/>
    <xf numFmtId="0" fontId="18" fillId="0" borderId="15" xfId="0" applyFont="1" applyBorder="1"/>
    <xf numFmtId="0" fontId="18" fillId="0" borderId="0" xfId="0" applyFont="1"/>
    <xf numFmtId="0" fontId="10" fillId="0" borderId="14" xfId="0" applyFont="1" applyBorder="1"/>
    <xf numFmtId="0" fontId="10" fillId="0" borderId="15" xfId="0" applyFont="1" applyBorder="1"/>
    <xf numFmtId="0" fontId="9" fillId="0" borderId="14" xfId="0" applyFont="1" applyBorder="1"/>
    <xf numFmtId="0" fontId="19" fillId="0" borderId="15" xfId="0" applyFont="1" applyBorder="1"/>
    <xf numFmtId="0" fontId="12" fillId="0" borderId="25" xfId="0" applyFont="1" applyBorder="1"/>
    <xf numFmtId="0" fontId="12" fillId="0" borderId="26" xfId="0" applyFont="1" applyBorder="1"/>
    <xf numFmtId="0" fontId="12" fillId="0" borderId="27" xfId="0" applyFont="1" applyBorder="1"/>
    <xf numFmtId="0" fontId="20" fillId="0" borderId="15" xfId="0" applyFont="1" applyBorder="1"/>
    <xf numFmtId="0" fontId="11" fillId="0" borderId="25" xfId="0" applyFont="1" applyBorder="1"/>
    <xf numFmtId="0" fontId="11" fillId="0" borderId="0" xfId="0" applyFont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35" xfId="0" applyFont="1" applyBorder="1"/>
    <xf numFmtId="0" fontId="12" fillId="0" borderId="36" xfId="0" applyFont="1" applyBorder="1"/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64" fontId="0" fillId="0" borderId="0" xfId="0" applyNumberFormat="1"/>
    <xf numFmtId="7" fontId="2" fillId="0" borderId="0" xfId="1" applyNumberFormat="1" applyFont="1" applyFill="1"/>
    <xf numFmtId="7" fontId="0" fillId="0" borderId="0" xfId="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5" fontId="10" fillId="0" borderId="11" xfId="1" applyNumberFormat="1" applyFont="1" applyFill="1" applyBorder="1" applyProtection="1"/>
    <xf numFmtId="5" fontId="10" fillId="0" borderId="11" xfId="1" applyNumberFormat="1" applyFont="1" applyFill="1" applyBorder="1"/>
    <xf numFmtId="5" fontId="10" fillId="0" borderId="12" xfId="1" applyNumberFormat="1" applyFont="1" applyFill="1" applyBorder="1"/>
    <xf numFmtId="5" fontId="10" fillId="0" borderId="12" xfId="1" applyNumberFormat="1" applyFont="1" applyFill="1" applyBorder="1" applyProtection="1"/>
    <xf numFmtId="5" fontId="13" fillId="0" borderId="11" xfId="1" applyNumberFormat="1" applyFont="1" applyFill="1" applyBorder="1" applyProtection="1"/>
    <xf numFmtId="5" fontId="10" fillId="0" borderId="13" xfId="1" applyNumberFormat="1" applyFont="1" applyFill="1" applyBorder="1" applyProtection="1"/>
    <xf numFmtId="5" fontId="14" fillId="0" borderId="11" xfId="1" applyNumberFormat="1" applyFont="1" applyFill="1" applyBorder="1" applyAlignment="1">
      <alignment wrapText="1"/>
    </xf>
    <xf numFmtId="5" fontId="10" fillId="0" borderId="16" xfId="1" applyNumberFormat="1" applyFont="1" applyFill="1" applyBorder="1" applyProtection="1"/>
    <xf numFmtId="5" fontId="10" fillId="0" borderId="17" xfId="1" applyNumberFormat="1" applyFont="1" applyFill="1" applyBorder="1" applyProtection="1"/>
    <xf numFmtId="5" fontId="10" fillId="0" borderId="18" xfId="1" applyNumberFormat="1" applyFont="1" applyFill="1" applyBorder="1" applyProtection="1"/>
    <xf numFmtId="5" fontId="13" fillId="0" borderId="16" xfId="1" applyNumberFormat="1" applyFont="1" applyFill="1" applyBorder="1" applyProtection="1"/>
    <xf numFmtId="5" fontId="16" fillId="0" borderId="11" xfId="1" applyNumberFormat="1" applyFont="1" applyFill="1" applyBorder="1" applyProtection="1"/>
    <xf numFmtId="5" fontId="13" fillId="0" borderId="11" xfId="1" applyNumberFormat="1" applyFont="1" applyFill="1" applyBorder="1"/>
    <xf numFmtId="5" fontId="12" fillId="0" borderId="11" xfId="1" applyNumberFormat="1" applyFont="1" applyFill="1" applyBorder="1"/>
    <xf numFmtId="5" fontId="10" fillId="0" borderId="19" xfId="1" applyNumberFormat="1" applyFont="1" applyFill="1" applyBorder="1" applyProtection="1"/>
    <xf numFmtId="5" fontId="10" fillId="0" borderId="20" xfId="1" applyNumberFormat="1" applyFont="1" applyFill="1" applyBorder="1" applyProtection="1"/>
    <xf numFmtId="5" fontId="10" fillId="0" borderId="22" xfId="1" applyNumberFormat="1" applyFont="1" applyFill="1" applyBorder="1" applyProtection="1"/>
    <xf numFmtId="5" fontId="2" fillId="0" borderId="23" xfId="1" applyNumberFormat="1" applyFont="1" applyFill="1" applyBorder="1"/>
    <xf numFmtId="5" fontId="13" fillId="0" borderId="16" xfId="1" applyNumberFormat="1" applyFont="1" applyFill="1" applyBorder="1"/>
    <xf numFmtId="5" fontId="10" fillId="0" borderId="6" xfId="1" applyNumberFormat="1" applyFont="1" applyFill="1" applyBorder="1" applyProtection="1"/>
    <xf numFmtId="5" fontId="13" fillId="0" borderId="20" xfId="1" applyNumberFormat="1" applyFont="1" applyFill="1" applyBorder="1" applyProtection="1"/>
    <xf numFmtId="5" fontId="1" fillId="0" borderId="28" xfId="1" applyNumberFormat="1" applyFont="1" applyFill="1" applyBorder="1"/>
    <xf numFmtId="5" fontId="10" fillId="0" borderId="29" xfId="1" applyNumberFormat="1" applyFont="1" applyFill="1" applyBorder="1"/>
    <xf numFmtId="5" fontId="12" fillId="0" borderId="34" xfId="1" applyNumberFormat="1" applyFont="1" applyFill="1" applyBorder="1"/>
    <xf numFmtId="5" fontId="12" fillId="0" borderId="22" xfId="1" applyNumberFormat="1" applyFont="1" applyFill="1" applyBorder="1"/>
    <xf numFmtId="5" fontId="12" fillId="0" borderId="6" xfId="1" applyNumberFormat="1" applyFont="1" applyFill="1" applyBorder="1"/>
    <xf numFmtId="5" fontId="8" fillId="0" borderId="9" xfId="1" applyNumberFormat="1" applyFont="1" applyFill="1" applyBorder="1" applyAlignment="1" applyProtection="1">
      <alignment horizontal="center" vertical="center"/>
    </xf>
    <xf numFmtId="5" fontId="12" fillId="0" borderId="11" xfId="1" applyNumberFormat="1" applyFont="1" applyFill="1" applyBorder="1" applyAlignment="1" applyProtection="1"/>
    <xf numFmtId="5" fontId="12" fillId="0" borderId="19" xfId="1" applyNumberFormat="1" applyFont="1" applyFill="1" applyBorder="1" applyProtection="1"/>
    <xf numFmtId="5" fontId="12" fillId="0" borderId="11" xfId="1" applyNumberFormat="1" applyFont="1" applyFill="1" applyBorder="1" applyProtection="1"/>
    <xf numFmtId="5" fontId="12" fillId="0" borderId="12" xfId="1" applyNumberFormat="1" applyFont="1" applyFill="1" applyBorder="1" applyProtection="1"/>
    <xf numFmtId="5" fontId="21" fillId="0" borderId="3" xfId="1" applyNumberFormat="1" applyFont="1" applyFill="1" applyBorder="1" applyAlignment="1" applyProtection="1">
      <alignment vertical="center"/>
    </xf>
    <xf numFmtId="5" fontId="21" fillId="0" borderId="6" xfId="1" applyNumberFormat="1" applyFont="1" applyFill="1" applyBorder="1" applyAlignment="1" applyProtection="1">
      <alignment vertical="center"/>
    </xf>
    <xf numFmtId="0" fontId="12" fillId="0" borderId="0" xfId="0" applyFont="1"/>
    <xf numFmtId="0" fontId="0" fillId="0" borderId="0" xfId="0"/>
    <xf numFmtId="0" fontId="12" fillId="0" borderId="0" xfId="0" applyFont="1"/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12" fillId="0" borderId="0" xfId="0" applyFont="1"/>
    <xf numFmtId="0" fontId="0" fillId="0" borderId="0" xfId="0"/>
    <xf numFmtId="0" fontId="12" fillId="0" borderId="24" xfId="0" applyFont="1" applyBorder="1"/>
    <xf numFmtId="0" fontId="0" fillId="0" borderId="24" xfId="0" applyBorder="1"/>
    <xf numFmtId="0" fontId="9" fillId="0" borderId="1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1" xfId="0" applyFont="1" applyBorder="1" applyAlignment="1">
      <alignment horizontal="left"/>
    </xf>
    <xf numFmtId="0" fontId="6" fillId="0" borderId="0" xfId="0" applyFont="1"/>
    <xf numFmtId="0" fontId="11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11" fillId="0" borderId="14" xfId="0" applyFont="1" applyBorder="1"/>
    <xf numFmtId="0" fontId="15" fillId="0" borderId="15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EBD91-C2A3-48F2-84DF-1FDBBD2D2022}">
  <sheetPr>
    <pageSetUpPr fitToPage="1"/>
  </sheetPr>
  <dimension ref="A1:H172"/>
  <sheetViews>
    <sheetView tabSelected="1" zoomScale="88" zoomScaleNormal="88" workbookViewId="0">
      <selection activeCell="A3" sqref="A3:D3"/>
    </sheetView>
  </sheetViews>
  <sheetFormatPr defaultColWidth="9.28515625" defaultRowHeight="15" x14ac:dyDescent="0.25"/>
  <cols>
    <col min="1" max="1" width="43.7109375" customWidth="1"/>
    <col min="2" max="2" width="36.7109375" customWidth="1"/>
    <col min="3" max="3" width="40" customWidth="1"/>
    <col min="4" max="4" width="34.42578125" style="56" customWidth="1"/>
    <col min="5" max="5" width="13.5703125" bestFit="1" customWidth="1"/>
    <col min="6" max="6" width="34.42578125" style="56" customWidth="1"/>
    <col min="7" max="7" width="21.28515625" customWidth="1"/>
    <col min="8" max="8" width="19.28515625" style="6" bestFit="1" customWidth="1"/>
    <col min="9" max="9" width="18.140625" bestFit="1" customWidth="1"/>
  </cols>
  <sheetData>
    <row r="1" spans="1:8" s="1" customFormat="1" x14ac:dyDescent="0.25">
      <c r="A1" s="100" t="s">
        <v>0</v>
      </c>
      <c r="B1" s="101"/>
      <c r="C1" s="101"/>
      <c r="D1" s="102"/>
      <c r="F1" s="2"/>
      <c r="H1" s="3"/>
    </row>
    <row r="2" spans="1:8" s="1" customFormat="1" ht="15.75" thickBot="1" x14ac:dyDescent="0.3">
      <c r="A2" s="103" t="s">
        <v>1</v>
      </c>
      <c r="B2" s="104"/>
      <c r="C2" s="104"/>
      <c r="D2" s="105"/>
      <c r="F2" s="57"/>
      <c r="G2" s="58"/>
      <c r="H2" s="59"/>
    </row>
    <row r="3" spans="1:8" ht="20.25" customHeight="1" thickBot="1" x14ac:dyDescent="0.3">
      <c r="A3" s="97" t="s">
        <v>57</v>
      </c>
      <c r="B3" s="98"/>
      <c r="C3" s="98"/>
      <c r="D3" s="99"/>
      <c r="F3" s="4"/>
      <c r="G3" s="5"/>
    </row>
    <row r="4" spans="1:8" s="7" customFormat="1" ht="53.25" customHeight="1" thickBot="1" x14ac:dyDescent="0.35">
      <c r="A4" s="106" t="s">
        <v>60</v>
      </c>
      <c r="B4" s="107"/>
      <c r="C4" s="107" t="s">
        <v>2</v>
      </c>
      <c r="D4" s="108"/>
      <c r="F4" s="8"/>
      <c r="H4" s="9"/>
    </row>
    <row r="5" spans="1:8" ht="15.75" thickBot="1" x14ac:dyDescent="0.3">
      <c r="A5" s="109" t="s">
        <v>61</v>
      </c>
      <c r="B5" s="107"/>
      <c r="C5" s="107"/>
      <c r="D5" s="108"/>
      <c r="F5"/>
      <c r="H5"/>
    </row>
    <row r="6" spans="1:8" ht="15.75" thickBot="1" x14ac:dyDescent="0.3">
      <c r="A6" s="97" t="s">
        <v>3</v>
      </c>
      <c r="B6" s="98"/>
      <c r="C6" s="98"/>
      <c r="D6" s="99"/>
      <c r="F6"/>
      <c r="H6"/>
    </row>
    <row r="7" spans="1:8" ht="18" x14ac:dyDescent="0.25">
      <c r="A7" s="10"/>
      <c r="B7" s="11"/>
      <c r="C7" s="11"/>
      <c r="D7" s="12"/>
      <c r="F7"/>
      <c r="H7"/>
    </row>
    <row r="8" spans="1:8" ht="18" x14ac:dyDescent="0.25">
      <c r="A8" s="114" t="s">
        <v>4</v>
      </c>
      <c r="B8" s="115"/>
      <c r="C8" s="115"/>
      <c r="D8" s="116"/>
      <c r="F8"/>
      <c r="H8"/>
    </row>
    <row r="9" spans="1:8" ht="18" x14ac:dyDescent="0.25">
      <c r="A9" s="13"/>
      <c r="B9" s="14" t="s">
        <v>5</v>
      </c>
      <c r="C9" s="14"/>
      <c r="D9" s="60">
        <f>ROUND(155151531*(0.1311+0.1721+0.1148),0)-D10</f>
        <v>65179236</v>
      </c>
      <c r="F9"/>
      <c r="H9"/>
    </row>
    <row r="10" spans="1:8" ht="18" x14ac:dyDescent="0.25">
      <c r="A10" s="13"/>
      <c r="B10" s="14" t="s">
        <v>6</v>
      </c>
      <c r="C10" s="14"/>
      <c r="D10" s="61">
        <f>-ROUND(393975*0.8272,0)</f>
        <v>-325896</v>
      </c>
      <c r="F10"/>
      <c r="H10"/>
    </row>
    <row r="11" spans="1:8" ht="18" x14ac:dyDescent="0.25">
      <c r="A11" s="13"/>
      <c r="B11" s="14" t="s">
        <v>7</v>
      </c>
      <c r="C11" s="14"/>
      <c r="D11" s="62"/>
      <c r="F11"/>
      <c r="H11"/>
    </row>
    <row r="12" spans="1:8" ht="18" x14ac:dyDescent="0.25">
      <c r="A12" s="13"/>
      <c r="B12" s="14" t="s">
        <v>8</v>
      </c>
      <c r="C12" s="14"/>
      <c r="D12" s="60">
        <f>SUM(D9:D11)</f>
        <v>64853340</v>
      </c>
      <c r="F12"/>
      <c r="H12"/>
    </row>
    <row r="13" spans="1:8" ht="18" x14ac:dyDescent="0.25">
      <c r="A13" s="13"/>
      <c r="B13" s="14"/>
      <c r="C13" s="14"/>
      <c r="D13" s="15"/>
      <c r="F13"/>
      <c r="H13"/>
    </row>
    <row r="14" spans="1:8" ht="18" x14ac:dyDescent="0.25">
      <c r="A14" s="114" t="s">
        <v>9</v>
      </c>
      <c r="B14" s="115"/>
      <c r="C14" s="115"/>
      <c r="D14" s="116"/>
      <c r="F14"/>
      <c r="H14"/>
    </row>
    <row r="15" spans="1:8" ht="18" x14ac:dyDescent="0.25">
      <c r="A15" s="13"/>
      <c r="B15" s="14" t="s">
        <v>5</v>
      </c>
      <c r="C15" s="16"/>
      <c r="D15" s="60">
        <f>ROUND(32410765*(0.1311+0.1721+0.1148),0)-D16</f>
        <v>13615779</v>
      </c>
      <c r="F15"/>
      <c r="H15"/>
    </row>
    <row r="16" spans="1:8" ht="18" x14ac:dyDescent="0.25">
      <c r="A16" s="13"/>
      <c r="B16" s="14" t="s">
        <v>10</v>
      </c>
      <c r="C16" s="14"/>
      <c r="D16" s="60">
        <f>-ROUND(393975*0.1728,0)</f>
        <v>-68079</v>
      </c>
      <c r="F16"/>
      <c r="H16"/>
    </row>
    <row r="17" spans="1:8" ht="18" x14ac:dyDescent="0.25">
      <c r="A17" s="13"/>
      <c r="B17" s="14" t="s">
        <v>7</v>
      </c>
      <c r="C17" s="14"/>
      <c r="D17" s="63"/>
      <c r="F17"/>
      <c r="H17"/>
    </row>
    <row r="18" spans="1:8" ht="18" x14ac:dyDescent="0.25">
      <c r="A18" s="13"/>
      <c r="B18" s="14" t="s">
        <v>8</v>
      </c>
      <c r="C18" s="14"/>
      <c r="D18" s="60">
        <f>SUM(D15:D17)</f>
        <v>13547700</v>
      </c>
      <c r="F18"/>
      <c r="H18"/>
    </row>
    <row r="19" spans="1:8" ht="18" x14ac:dyDescent="0.25">
      <c r="A19" s="13"/>
      <c r="B19" s="14"/>
      <c r="C19" s="14"/>
      <c r="D19" s="60"/>
      <c r="F19"/>
      <c r="H19"/>
    </row>
    <row r="20" spans="1:8" ht="18" x14ac:dyDescent="0.25">
      <c r="A20" s="17" t="s">
        <v>11</v>
      </c>
      <c r="B20" s="18"/>
      <c r="C20" s="18"/>
      <c r="D20" s="60"/>
      <c r="F20"/>
      <c r="H20"/>
    </row>
    <row r="21" spans="1:8" ht="18" x14ac:dyDescent="0.25">
      <c r="A21" s="19"/>
      <c r="B21" s="18" t="s">
        <v>5</v>
      </c>
      <c r="C21" s="18"/>
      <c r="D21" s="63">
        <f>ROUND(13432051*(0.1311+0.1721+0.1148),0)</f>
        <v>5614597</v>
      </c>
      <c r="F21"/>
      <c r="H21"/>
    </row>
    <row r="22" spans="1:8" ht="18" x14ac:dyDescent="0.25">
      <c r="A22" s="19"/>
      <c r="B22" s="18" t="s">
        <v>8</v>
      </c>
      <c r="C22" s="18"/>
      <c r="D22" s="60">
        <f>D21</f>
        <v>5614597</v>
      </c>
      <c r="F22"/>
      <c r="H22"/>
    </row>
    <row r="23" spans="1:8" ht="18" x14ac:dyDescent="0.25">
      <c r="A23" s="20"/>
      <c r="B23" s="18"/>
      <c r="C23" s="18"/>
      <c r="D23" s="60"/>
      <c r="F23"/>
      <c r="H23"/>
    </row>
    <row r="24" spans="1:8" ht="18" x14ac:dyDescent="0.25">
      <c r="A24" s="21" t="s">
        <v>12</v>
      </c>
      <c r="B24" s="18"/>
      <c r="C24" s="18"/>
      <c r="D24" s="64"/>
      <c r="F24"/>
      <c r="H24"/>
    </row>
    <row r="25" spans="1:8" ht="18" x14ac:dyDescent="0.25">
      <c r="A25" s="20"/>
      <c r="B25" s="18" t="s">
        <v>5</v>
      </c>
      <c r="C25" s="18"/>
      <c r="D25" s="60">
        <f>ROUND(6542164133*(0.1311+0.1721+0.1148),0)</f>
        <v>2734624608</v>
      </c>
      <c r="F25"/>
      <c r="H25"/>
    </row>
    <row r="26" spans="1:8" ht="18" x14ac:dyDescent="0.25">
      <c r="A26" s="20"/>
      <c r="B26" s="110" t="s">
        <v>10</v>
      </c>
      <c r="C26" s="117"/>
      <c r="D26" s="60">
        <f>-ROUND($D$25*0.0075,0)</f>
        <v>-20509685</v>
      </c>
      <c r="F26"/>
      <c r="H26"/>
    </row>
    <row r="27" spans="1:8" ht="18" x14ac:dyDescent="0.25">
      <c r="A27" s="20"/>
      <c r="B27" s="110" t="s">
        <v>13</v>
      </c>
      <c r="C27" s="117"/>
      <c r="D27" s="60">
        <f>-ROUND($D$25*0.0075,0)</f>
        <v>-20509685</v>
      </c>
      <c r="F27"/>
      <c r="H27"/>
    </row>
    <row r="28" spans="1:8" ht="18" x14ac:dyDescent="0.25">
      <c r="A28" s="20"/>
      <c r="B28" s="18" t="s">
        <v>14</v>
      </c>
      <c r="C28" s="22"/>
      <c r="D28" s="60">
        <v>-30000000</v>
      </c>
      <c r="F28"/>
      <c r="H28"/>
    </row>
    <row r="29" spans="1:8" ht="18" x14ac:dyDescent="0.25">
      <c r="A29" s="20"/>
      <c r="B29" s="18" t="s">
        <v>15</v>
      </c>
      <c r="C29" s="18"/>
      <c r="D29" s="60">
        <f>ROUNDUP(355566259*(0.1311+0.1721+0.1148),0)</f>
        <v>148626697</v>
      </c>
      <c r="F29"/>
      <c r="H29"/>
    </row>
    <row r="30" spans="1:8" ht="18" x14ac:dyDescent="0.25">
      <c r="A30" s="20"/>
      <c r="B30" s="18" t="s">
        <v>16</v>
      </c>
      <c r="C30" s="18"/>
      <c r="D30" s="60">
        <f>ROUND(400957696*(0.1311+0.1721+0.1148)*0.71422,0)</f>
        <v>119703498</v>
      </c>
      <c r="F30"/>
      <c r="H30"/>
    </row>
    <row r="31" spans="1:8" ht="18" x14ac:dyDescent="0.25">
      <c r="A31" s="20"/>
      <c r="B31" s="18" t="s">
        <v>7</v>
      </c>
      <c r="C31" s="18"/>
      <c r="D31" s="63"/>
      <c r="F31"/>
      <c r="H31"/>
    </row>
    <row r="32" spans="1:8" ht="18" x14ac:dyDescent="0.25">
      <c r="A32" s="20"/>
      <c r="B32" s="18" t="s">
        <v>8</v>
      </c>
      <c r="C32" s="18"/>
      <c r="D32" s="60">
        <f>SUM(D25:D31)</f>
        <v>2931935433</v>
      </c>
      <c r="F32"/>
      <c r="H32"/>
    </row>
    <row r="33" spans="1:8" ht="18" x14ac:dyDescent="0.25">
      <c r="A33" s="20"/>
      <c r="B33" s="18"/>
      <c r="C33" s="18"/>
      <c r="D33" s="60"/>
      <c r="E33" s="94"/>
      <c r="F33"/>
      <c r="H33"/>
    </row>
    <row r="34" spans="1:8" s="94" customFormat="1" ht="18" x14ac:dyDescent="0.25">
      <c r="A34" s="21" t="s">
        <v>58</v>
      </c>
      <c r="B34" s="93"/>
      <c r="C34" s="93"/>
      <c r="D34" s="60"/>
    </row>
    <row r="35" spans="1:8" s="94" customFormat="1" ht="18" x14ac:dyDescent="0.25">
      <c r="A35" s="20"/>
      <c r="B35" s="93" t="s">
        <v>5</v>
      </c>
      <c r="C35" s="93"/>
      <c r="D35" s="63">
        <v>30000000</v>
      </c>
    </row>
    <row r="36" spans="1:8" s="94" customFormat="1" ht="18" x14ac:dyDescent="0.25">
      <c r="A36" s="20"/>
      <c r="B36" s="93" t="s">
        <v>8</v>
      </c>
      <c r="C36" s="93"/>
      <c r="D36" s="60">
        <v>30000000</v>
      </c>
    </row>
    <row r="37" spans="1:8" s="94" customFormat="1" ht="18" x14ac:dyDescent="0.25">
      <c r="A37" s="20"/>
      <c r="B37" s="93"/>
      <c r="C37" s="93"/>
      <c r="D37" s="60"/>
    </row>
    <row r="38" spans="1:8" ht="18" x14ac:dyDescent="0.25">
      <c r="A38" s="21" t="s">
        <v>17</v>
      </c>
      <c r="B38" s="18"/>
      <c r="C38" s="18"/>
      <c r="D38" s="60"/>
      <c r="F38"/>
      <c r="H38"/>
    </row>
    <row r="39" spans="1:8" ht="18" x14ac:dyDescent="0.25">
      <c r="A39" s="20"/>
      <c r="B39" s="18" t="s">
        <v>5</v>
      </c>
      <c r="C39" s="18"/>
      <c r="D39" s="60">
        <f>ROUND($D$25*0.0075,0)</f>
        <v>20509685</v>
      </c>
      <c r="F39"/>
      <c r="H39"/>
    </row>
    <row r="40" spans="1:8" ht="18" x14ac:dyDescent="0.25">
      <c r="A40" s="20"/>
      <c r="B40" s="18" t="s">
        <v>7</v>
      </c>
      <c r="C40" s="18"/>
      <c r="D40" s="60"/>
      <c r="F40"/>
      <c r="H40"/>
    </row>
    <row r="41" spans="1:8" ht="18" x14ac:dyDescent="0.25">
      <c r="A41" s="20"/>
      <c r="B41" s="18" t="s">
        <v>8</v>
      </c>
      <c r="C41" s="18"/>
      <c r="D41" s="65">
        <f>SUM(D39:D40)</f>
        <v>20509685</v>
      </c>
      <c r="F41"/>
      <c r="H41"/>
    </row>
    <row r="42" spans="1:8" ht="18" x14ac:dyDescent="0.25">
      <c r="A42" s="20"/>
      <c r="B42" s="18"/>
      <c r="C42" s="18"/>
      <c r="D42" s="60"/>
      <c r="F42"/>
      <c r="H42"/>
    </row>
    <row r="43" spans="1:8" ht="18" x14ac:dyDescent="0.25">
      <c r="A43" s="118" t="s">
        <v>18</v>
      </c>
      <c r="B43" s="119"/>
      <c r="C43" s="119"/>
      <c r="D43" s="66"/>
      <c r="F43"/>
      <c r="H43"/>
    </row>
    <row r="44" spans="1:8" ht="18" x14ac:dyDescent="0.25">
      <c r="A44" s="20"/>
      <c r="B44" s="18" t="s">
        <v>5</v>
      </c>
      <c r="C44" s="18"/>
      <c r="D44" s="60">
        <f>ROUND(379002836*(0.1311+0.1721+0.1148),0)+50000000</f>
        <v>208423185</v>
      </c>
      <c r="F44"/>
      <c r="H44"/>
    </row>
    <row r="45" spans="1:8" ht="18" x14ac:dyDescent="0.25">
      <c r="A45" s="20"/>
      <c r="B45" s="18" t="s">
        <v>19</v>
      </c>
      <c r="C45" s="18"/>
      <c r="D45" s="60">
        <f>-(ROUND(1895014*(0.1311+0.1721+0.1148),0)+995000)</f>
        <v>-1787116</v>
      </c>
      <c r="F45"/>
      <c r="H45"/>
    </row>
    <row r="46" spans="1:8" ht="18" x14ac:dyDescent="0.25">
      <c r="A46" s="20"/>
      <c r="B46" s="18" t="s">
        <v>20</v>
      </c>
      <c r="C46" s="18"/>
      <c r="D46" s="60">
        <f>-5000</f>
        <v>-5000</v>
      </c>
      <c r="F46"/>
      <c r="H46"/>
    </row>
    <row r="47" spans="1:8" ht="18" x14ac:dyDescent="0.25">
      <c r="A47" s="20"/>
      <c r="B47" s="18" t="s">
        <v>21</v>
      </c>
      <c r="C47" s="18"/>
      <c r="D47" s="60"/>
      <c r="F47"/>
      <c r="H47"/>
    </row>
    <row r="48" spans="1:8" ht="18" x14ac:dyDescent="0.25">
      <c r="A48" s="20"/>
      <c r="B48" s="18" t="s">
        <v>22</v>
      </c>
      <c r="C48" s="18"/>
      <c r="D48" s="60"/>
      <c r="F48"/>
      <c r="H48"/>
    </row>
    <row r="49" spans="1:8" ht="18" x14ac:dyDescent="0.25">
      <c r="A49" s="20"/>
      <c r="B49" s="18" t="s">
        <v>23</v>
      </c>
      <c r="C49" s="18"/>
      <c r="D49" s="60"/>
      <c r="F49"/>
      <c r="H49"/>
    </row>
    <row r="50" spans="1:8" ht="18" x14ac:dyDescent="0.25">
      <c r="A50" s="20"/>
      <c r="B50" s="18" t="s">
        <v>8</v>
      </c>
      <c r="C50" s="18"/>
      <c r="D50" s="65">
        <f>SUM(D44:D49)</f>
        <v>206631069</v>
      </c>
      <c r="F50"/>
      <c r="H50"/>
    </row>
    <row r="51" spans="1:8" ht="18" x14ac:dyDescent="0.25">
      <c r="A51" s="20"/>
      <c r="B51" s="18"/>
      <c r="C51" s="18"/>
      <c r="D51" s="60"/>
      <c r="F51"/>
      <c r="H51"/>
    </row>
    <row r="52" spans="1:8" ht="18" x14ac:dyDescent="0.25">
      <c r="A52" s="120" t="s">
        <v>24</v>
      </c>
      <c r="B52" s="121"/>
      <c r="C52" s="121"/>
      <c r="D52" s="67"/>
      <c r="F52"/>
      <c r="H52"/>
    </row>
    <row r="53" spans="1:8" ht="18" x14ac:dyDescent="0.25">
      <c r="A53" s="23"/>
      <c r="B53" s="24" t="s">
        <v>5</v>
      </c>
      <c r="C53" s="24"/>
      <c r="D53" s="68">
        <f>ROUND(4701218*(0.1311+0.1721+0.1148),0)</f>
        <v>1965109</v>
      </c>
      <c r="F53"/>
      <c r="H53"/>
    </row>
    <row r="54" spans="1:8" ht="18" x14ac:dyDescent="0.25">
      <c r="A54" s="23"/>
      <c r="B54" s="24" t="s">
        <v>8</v>
      </c>
      <c r="C54" s="24"/>
      <c r="D54" s="69">
        <f>D53</f>
        <v>1965109</v>
      </c>
      <c r="F54"/>
      <c r="H54"/>
    </row>
    <row r="55" spans="1:8" ht="18" x14ac:dyDescent="0.25">
      <c r="A55" s="23"/>
      <c r="B55" s="24"/>
      <c r="C55" s="24"/>
      <c r="D55" s="67"/>
      <c r="F55"/>
      <c r="H55"/>
    </row>
    <row r="56" spans="1:8" ht="18" x14ac:dyDescent="0.25">
      <c r="A56" s="25" t="s">
        <v>25</v>
      </c>
      <c r="B56" s="24"/>
      <c r="C56" s="24"/>
      <c r="D56" s="70"/>
      <c r="F56"/>
      <c r="H56"/>
    </row>
    <row r="57" spans="1:8" ht="18" x14ac:dyDescent="0.25">
      <c r="A57" s="20"/>
      <c r="B57" s="18" t="s">
        <v>5</v>
      </c>
      <c r="C57" s="18"/>
      <c r="D57" s="60">
        <f>ROUND(799749871*(0.1311+0.1721+0.1148),0)+ROUND(4467876*(0.1311+0.1721+0.1148),0)</f>
        <v>336163018</v>
      </c>
      <c r="F57"/>
      <c r="H57"/>
    </row>
    <row r="58" spans="1:8" ht="18" x14ac:dyDescent="0.25">
      <c r="A58" s="20"/>
      <c r="B58" s="18" t="s">
        <v>6</v>
      </c>
      <c r="C58" s="18"/>
      <c r="D58" s="60">
        <f>-ROUND(4467876*(0.1311+0.1721+0.1148),0)</f>
        <v>-1867572</v>
      </c>
      <c r="F58"/>
      <c r="H58"/>
    </row>
    <row r="59" spans="1:8" ht="18" x14ac:dyDescent="0.25">
      <c r="A59" s="20"/>
      <c r="B59" s="18" t="s">
        <v>16</v>
      </c>
      <c r="C59" s="18"/>
      <c r="D59" s="71">
        <f>ROUND(400957696*(0.1311+0.1721+0.1148)*0.28578,0)</f>
        <v>47896819</v>
      </c>
      <c r="F59"/>
      <c r="H59"/>
    </row>
    <row r="60" spans="1:8" ht="18" x14ac:dyDescent="0.25">
      <c r="A60" s="20"/>
      <c r="B60" s="18" t="s">
        <v>7</v>
      </c>
      <c r="C60" s="18"/>
      <c r="D60" s="60"/>
      <c r="F60"/>
      <c r="H60"/>
    </row>
    <row r="61" spans="1:8" ht="18" x14ac:dyDescent="0.25">
      <c r="A61" s="20"/>
      <c r="B61" s="18" t="s">
        <v>8</v>
      </c>
      <c r="C61" s="18"/>
      <c r="D61" s="65">
        <f>SUM(D57:D60)</f>
        <v>382192265</v>
      </c>
      <c r="F61"/>
      <c r="H61"/>
    </row>
    <row r="62" spans="1:8" ht="18" x14ac:dyDescent="0.25">
      <c r="A62" s="20"/>
      <c r="B62" s="18"/>
      <c r="C62" s="18"/>
      <c r="D62" s="64"/>
      <c r="F62"/>
      <c r="H62"/>
    </row>
    <row r="63" spans="1:8" ht="18" x14ac:dyDescent="0.25">
      <c r="A63" s="21" t="s">
        <v>26</v>
      </c>
      <c r="B63" s="18"/>
      <c r="C63" s="18"/>
      <c r="D63" s="72"/>
      <c r="F63"/>
      <c r="H63"/>
    </row>
    <row r="64" spans="1:8" ht="18" x14ac:dyDescent="0.25">
      <c r="A64" s="20"/>
      <c r="B64" s="18" t="s">
        <v>5</v>
      </c>
      <c r="C64" s="18"/>
      <c r="D64" s="68">
        <f>ROUNDDOWN(17871506*(0.1311+0.1721+0.1148),0)</f>
        <v>7470289</v>
      </c>
      <c r="F64"/>
      <c r="H64"/>
    </row>
    <row r="65" spans="1:8" ht="18" x14ac:dyDescent="0.25">
      <c r="A65" s="20"/>
      <c r="B65" s="18" t="s">
        <v>27</v>
      </c>
      <c r="C65" s="18"/>
      <c r="D65" s="73">
        <f>-ROUND(D64*0.15,0)</f>
        <v>-1120543</v>
      </c>
      <c r="F65"/>
      <c r="H65"/>
    </row>
    <row r="66" spans="1:8" ht="18" x14ac:dyDescent="0.25">
      <c r="A66" s="20"/>
      <c r="B66" s="18" t="s">
        <v>7</v>
      </c>
      <c r="C66" s="18"/>
      <c r="D66" s="61"/>
      <c r="F66"/>
      <c r="H66"/>
    </row>
    <row r="67" spans="1:8" ht="18" x14ac:dyDescent="0.25">
      <c r="A67" s="20"/>
      <c r="B67" s="18" t="s">
        <v>8</v>
      </c>
      <c r="C67" s="18"/>
      <c r="D67" s="74">
        <f>SUM(D64:D66)</f>
        <v>6349746</v>
      </c>
      <c r="F67"/>
      <c r="H67"/>
    </row>
    <row r="68" spans="1:8" ht="18" x14ac:dyDescent="0.25">
      <c r="A68" s="20"/>
      <c r="B68" s="18"/>
      <c r="C68" s="18"/>
      <c r="D68" s="64"/>
      <c r="F68"/>
      <c r="H68"/>
    </row>
    <row r="69" spans="1:8" ht="18" x14ac:dyDescent="0.25">
      <c r="A69" s="21" t="s">
        <v>28</v>
      </c>
      <c r="B69" s="26"/>
      <c r="C69" s="26"/>
      <c r="D69" s="72"/>
      <c r="F69"/>
      <c r="H69"/>
    </row>
    <row r="70" spans="1:8" ht="18" x14ac:dyDescent="0.25">
      <c r="A70" s="20"/>
      <c r="B70" s="18" t="s">
        <v>5</v>
      </c>
      <c r="C70" s="18"/>
      <c r="D70" s="68">
        <f>ROUNDDOWN(35743011*(0.1311+0.1721+0.1148),0)</f>
        <v>14940578</v>
      </c>
      <c r="F70"/>
      <c r="H70"/>
    </row>
    <row r="71" spans="1:8" ht="18" x14ac:dyDescent="0.25">
      <c r="A71" s="20"/>
      <c r="B71" s="18" t="s">
        <v>7</v>
      </c>
      <c r="C71" s="18"/>
      <c r="D71" s="60"/>
      <c r="F71"/>
      <c r="H71"/>
    </row>
    <row r="72" spans="1:8" ht="18" x14ac:dyDescent="0.25">
      <c r="A72" s="20"/>
      <c r="B72" s="18" t="s">
        <v>8</v>
      </c>
      <c r="C72" s="18"/>
      <c r="D72" s="65">
        <f>SUM(D70:D71)</f>
        <v>14940578</v>
      </c>
      <c r="F72"/>
      <c r="H72"/>
    </row>
    <row r="73" spans="1:8" ht="18" x14ac:dyDescent="0.25">
      <c r="A73" s="20"/>
      <c r="B73" s="18"/>
      <c r="C73" s="18"/>
      <c r="D73" s="60"/>
      <c r="F73"/>
      <c r="H73"/>
    </row>
    <row r="74" spans="1:8" ht="18" x14ac:dyDescent="0.25">
      <c r="A74" s="21" t="s">
        <v>29</v>
      </c>
      <c r="B74" s="26"/>
      <c r="C74" s="26"/>
      <c r="D74" s="60"/>
      <c r="F74"/>
      <c r="H74"/>
    </row>
    <row r="75" spans="1:8" ht="18" x14ac:dyDescent="0.25">
      <c r="A75" s="20"/>
      <c r="B75" s="18" t="s">
        <v>5</v>
      </c>
      <c r="C75" s="18"/>
      <c r="D75" s="68">
        <f>ROUND(8935753*(0.1311+0.1721+0.1148),0)</f>
        <v>3735145</v>
      </c>
      <c r="F75"/>
      <c r="H75"/>
    </row>
    <row r="76" spans="1:8" ht="18.75" x14ac:dyDescent="0.3">
      <c r="A76" s="20"/>
      <c r="B76" s="18" t="s">
        <v>8</v>
      </c>
      <c r="C76" s="27"/>
      <c r="D76" s="61">
        <f>D75</f>
        <v>3735145</v>
      </c>
      <c r="F76"/>
      <c r="H76"/>
    </row>
    <row r="77" spans="1:8" ht="18" x14ac:dyDescent="0.25">
      <c r="A77" s="20"/>
      <c r="B77" s="18"/>
      <c r="C77" s="18"/>
      <c r="D77" s="60"/>
      <c r="F77"/>
      <c r="H77"/>
    </row>
    <row r="78" spans="1:8" ht="18" x14ac:dyDescent="0.25">
      <c r="A78" s="21" t="s">
        <v>30</v>
      </c>
      <c r="B78" s="26"/>
      <c r="C78" s="26"/>
      <c r="D78" s="60"/>
      <c r="F78"/>
      <c r="H78"/>
    </row>
    <row r="79" spans="1:8" ht="18" x14ac:dyDescent="0.25">
      <c r="A79" s="20"/>
      <c r="B79" s="18" t="s">
        <v>5</v>
      </c>
      <c r="C79" s="18"/>
      <c r="D79" s="68">
        <f>ROUND(26807258*(0.1311+0.1721+0.1148),0)</f>
        <v>11205434</v>
      </c>
      <c r="F79"/>
      <c r="H79"/>
    </row>
    <row r="80" spans="1:8" ht="18" x14ac:dyDescent="0.25">
      <c r="A80" s="20"/>
      <c r="B80" s="18" t="s">
        <v>7</v>
      </c>
      <c r="C80" s="18"/>
      <c r="D80" s="63"/>
      <c r="F80"/>
      <c r="H80"/>
    </row>
    <row r="81" spans="1:8" ht="18" x14ac:dyDescent="0.25">
      <c r="A81" s="20"/>
      <c r="B81" s="18" t="s">
        <v>31</v>
      </c>
      <c r="C81" s="18"/>
      <c r="D81" s="60">
        <f>SUM(D79:D80)</f>
        <v>11205434</v>
      </c>
      <c r="F81"/>
      <c r="H81"/>
    </row>
    <row r="82" spans="1:8" ht="18" x14ac:dyDescent="0.25">
      <c r="A82" s="23"/>
      <c r="B82" s="24"/>
      <c r="C82" s="24"/>
      <c r="D82" s="67"/>
      <c r="F82"/>
      <c r="H82"/>
    </row>
    <row r="83" spans="1:8" ht="18" x14ac:dyDescent="0.25">
      <c r="A83" s="25" t="s">
        <v>32</v>
      </c>
      <c r="B83" s="28"/>
      <c r="C83" s="28"/>
      <c r="D83" s="70"/>
      <c r="F83"/>
      <c r="H83"/>
    </row>
    <row r="84" spans="1:8" ht="18" x14ac:dyDescent="0.25">
      <c r="A84" s="23"/>
      <c r="B84" s="24" t="s">
        <v>5</v>
      </c>
      <c r="C84" s="24"/>
      <c r="D84" s="68">
        <v>10779912</v>
      </c>
      <c r="F84"/>
      <c r="H84"/>
    </row>
    <row r="85" spans="1:8" ht="18" x14ac:dyDescent="0.25">
      <c r="A85" s="23"/>
      <c r="B85" s="24" t="s">
        <v>31</v>
      </c>
      <c r="C85" s="24"/>
      <c r="D85" s="69">
        <f>SUM(D84:D84)</f>
        <v>10779912</v>
      </c>
      <c r="F85"/>
      <c r="H85"/>
    </row>
    <row r="86" spans="1:8" ht="18" x14ac:dyDescent="0.25">
      <c r="A86" s="23"/>
      <c r="B86" s="24"/>
      <c r="C86" s="24"/>
      <c r="D86" s="69"/>
      <c r="F86"/>
      <c r="H86"/>
    </row>
    <row r="87" spans="1:8" ht="18" x14ac:dyDescent="0.25">
      <c r="A87" s="25" t="s">
        <v>33</v>
      </c>
      <c r="B87" s="29"/>
      <c r="C87" s="29"/>
      <c r="D87" s="67"/>
      <c r="F87"/>
      <c r="H87"/>
    </row>
    <row r="88" spans="1:8" ht="18" x14ac:dyDescent="0.25">
      <c r="A88" s="25"/>
      <c r="B88" s="18" t="s">
        <v>5</v>
      </c>
      <c r="C88" s="28"/>
      <c r="D88" s="68">
        <f>ROUND(5104455*(0.1311+0.1721+0.1148),0)</f>
        <v>2133662</v>
      </c>
      <c r="F88"/>
      <c r="H88"/>
    </row>
    <row r="89" spans="1:8" ht="18" x14ac:dyDescent="0.25">
      <c r="A89" s="23"/>
      <c r="B89" s="18" t="s">
        <v>31</v>
      </c>
      <c r="C89" s="24"/>
      <c r="D89" s="69">
        <f>SUM(D88:D88)</f>
        <v>2133662</v>
      </c>
      <c r="F89"/>
      <c r="H89"/>
    </row>
    <row r="90" spans="1:8" ht="18" x14ac:dyDescent="0.25">
      <c r="A90" s="23"/>
      <c r="B90" s="24"/>
      <c r="C90" s="24"/>
      <c r="D90" s="67"/>
      <c r="F90"/>
      <c r="H90"/>
    </row>
    <row r="91" spans="1:8" ht="18" x14ac:dyDescent="0.25">
      <c r="A91" s="25" t="s">
        <v>34</v>
      </c>
      <c r="B91" s="29"/>
      <c r="C91" s="29"/>
      <c r="D91" s="67"/>
      <c r="F91"/>
      <c r="H91"/>
    </row>
    <row r="92" spans="1:8" ht="18" x14ac:dyDescent="0.25">
      <c r="A92" s="25"/>
      <c r="B92" s="18" t="s">
        <v>5</v>
      </c>
      <c r="C92" s="28"/>
      <c r="D92" s="68">
        <f>ROUND(6716026*(0.1311+0.1721+0.1148),0)</f>
        <v>2807299</v>
      </c>
      <c r="F92"/>
      <c r="H92"/>
    </row>
    <row r="93" spans="1:8" ht="18" x14ac:dyDescent="0.25">
      <c r="A93" s="23"/>
      <c r="B93" s="18" t="s">
        <v>31</v>
      </c>
      <c r="C93" s="24"/>
      <c r="D93" s="69">
        <f>SUM(D92:D92)</f>
        <v>2807299</v>
      </c>
      <c r="F93"/>
      <c r="H93"/>
    </row>
    <row r="94" spans="1:8" ht="18" x14ac:dyDescent="0.25">
      <c r="A94" s="23"/>
      <c r="B94" s="24"/>
      <c r="C94" s="24"/>
      <c r="D94" s="67"/>
      <c r="F94"/>
      <c r="H94"/>
    </row>
    <row r="95" spans="1:8" ht="18" x14ac:dyDescent="0.25">
      <c r="A95" s="25" t="s">
        <v>35</v>
      </c>
      <c r="B95" s="28"/>
      <c r="C95" s="28"/>
      <c r="D95" s="75"/>
      <c r="F95"/>
      <c r="H95"/>
    </row>
    <row r="96" spans="1:8" ht="18" x14ac:dyDescent="0.25">
      <c r="A96" s="23"/>
      <c r="B96" s="24" t="s">
        <v>5</v>
      </c>
      <c r="C96" s="30"/>
      <c r="D96" s="68">
        <v>5053138</v>
      </c>
      <c r="F96"/>
      <c r="H96"/>
    </row>
    <row r="97" spans="1:8" ht="18" x14ac:dyDescent="0.25">
      <c r="A97" s="23"/>
      <c r="B97" s="24" t="s">
        <v>36</v>
      </c>
      <c r="C97" s="24"/>
      <c r="D97" s="76">
        <f>-ROUND(6716026*(0.1311+0.1721+0.1148),0)</f>
        <v>-2807299</v>
      </c>
      <c r="F97"/>
      <c r="H97"/>
    </row>
    <row r="98" spans="1:8" ht="18" x14ac:dyDescent="0.25">
      <c r="A98" s="23"/>
      <c r="B98" s="24" t="s">
        <v>31</v>
      </c>
      <c r="C98" s="24"/>
      <c r="D98" s="69">
        <f>SUM(D96:D97)</f>
        <v>2245839</v>
      </c>
      <c r="F98"/>
      <c r="H98"/>
    </row>
    <row r="99" spans="1:8" ht="18" x14ac:dyDescent="0.25">
      <c r="A99" s="23"/>
      <c r="B99" s="24"/>
      <c r="C99" s="24"/>
      <c r="D99" s="67"/>
      <c r="F99"/>
      <c r="H99"/>
    </row>
    <row r="100" spans="1:8" ht="18" x14ac:dyDescent="0.25">
      <c r="A100" s="21" t="s">
        <v>37</v>
      </c>
      <c r="B100" s="26"/>
      <c r="C100" s="26"/>
      <c r="D100" s="77"/>
      <c r="F100"/>
      <c r="H100"/>
    </row>
    <row r="101" spans="1:8" ht="18" x14ac:dyDescent="0.25">
      <c r="A101" s="23"/>
      <c r="B101" s="24" t="s">
        <v>5</v>
      </c>
      <c r="C101" s="24"/>
      <c r="D101" s="68">
        <v>2133662</v>
      </c>
      <c r="F101"/>
      <c r="H101"/>
    </row>
    <row r="102" spans="1:8" ht="18" x14ac:dyDescent="0.25">
      <c r="A102" s="23"/>
      <c r="B102" s="24" t="s">
        <v>31</v>
      </c>
      <c r="C102" s="24"/>
      <c r="D102" s="69">
        <f>SUM(D101:D101)</f>
        <v>2133662</v>
      </c>
      <c r="F102"/>
      <c r="H102"/>
    </row>
    <row r="103" spans="1:8" ht="18" x14ac:dyDescent="0.25">
      <c r="A103" s="23"/>
      <c r="B103" s="24"/>
      <c r="C103" s="24"/>
      <c r="D103" s="67"/>
      <c r="F103"/>
      <c r="H103"/>
    </row>
    <row r="104" spans="1:8" ht="18" x14ac:dyDescent="0.25">
      <c r="A104" s="25" t="s">
        <v>38</v>
      </c>
      <c r="B104" s="31"/>
      <c r="C104" s="31"/>
      <c r="D104" s="78"/>
      <c r="F104"/>
      <c r="H104"/>
    </row>
    <row r="105" spans="1:8" ht="18" x14ac:dyDescent="0.25">
      <c r="A105" s="21"/>
      <c r="B105" s="18" t="s">
        <v>5</v>
      </c>
      <c r="C105" s="32"/>
      <c r="D105" s="60">
        <f>ROUND(35877780*(0.1311+0.1721+0.1148),0)+ROUNDDOWN(3251900257*(0.1311+0.1721+0.1148),0)+ROUND(300000000*(0.1311+0.1721+0.1148),0)+950000000</f>
        <v>2449691219</v>
      </c>
      <c r="F105"/>
      <c r="H105"/>
    </row>
    <row r="106" spans="1:8" ht="18" x14ac:dyDescent="0.25">
      <c r="A106" s="20"/>
      <c r="B106" s="18" t="s">
        <v>19</v>
      </c>
      <c r="C106" s="18"/>
      <c r="D106" s="60">
        <f>-(ROUND(35877780*(0.1311+0.1721+0.1148),0)+18905000)</f>
        <v>-33901912</v>
      </c>
      <c r="F106"/>
      <c r="H106"/>
    </row>
    <row r="107" spans="1:8" ht="18" x14ac:dyDescent="0.25">
      <c r="A107" s="20"/>
      <c r="B107" s="18" t="s">
        <v>20</v>
      </c>
      <c r="C107" s="18"/>
      <c r="D107" s="60">
        <f>-95000</f>
        <v>-95000</v>
      </c>
      <c r="F107"/>
      <c r="H107"/>
    </row>
    <row r="108" spans="1:8" ht="18" x14ac:dyDescent="0.25">
      <c r="A108" s="20"/>
      <c r="B108" s="18" t="s">
        <v>39</v>
      </c>
      <c r="C108" s="18"/>
      <c r="D108" s="60">
        <v>-300000000</v>
      </c>
      <c r="F108"/>
      <c r="H108"/>
    </row>
    <row r="109" spans="1:8" ht="18" x14ac:dyDescent="0.25">
      <c r="A109" s="20"/>
      <c r="B109" s="18" t="s">
        <v>40</v>
      </c>
      <c r="C109" s="18"/>
      <c r="D109" s="60"/>
      <c r="F109"/>
      <c r="H109"/>
    </row>
    <row r="110" spans="1:8" ht="18" x14ac:dyDescent="0.25">
      <c r="A110" s="20"/>
      <c r="B110" s="18" t="s">
        <v>41</v>
      </c>
      <c r="C110" s="18"/>
      <c r="D110" s="60"/>
      <c r="F110"/>
      <c r="H110"/>
    </row>
    <row r="111" spans="1:8" ht="18.75" thickBot="1" x14ac:dyDescent="0.3">
      <c r="A111" s="20"/>
      <c r="B111" s="18" t="s">
        <v>8</v>
      </c>
      <c r="C111" s="18"/>
      <c r="D111" s="79">
        <f>D105+D106+D107+D108+D109+D110</f>
        <v>2115694307</v>
      </c>
      <c r="F111"/>
      <c r="H111"/>
    </row>
    <row r="112" spans="1:8" ht="18" x14ac:dyDescent="0.25">
      <c r="A112" s="20"/>
      <c r="B112" s="18" t="s">
        <v>42</v>
      </c>
      <c r="C112" s="18"/>
      <c r="D112" s="60">
        <v>2055397019</v>
      </c>
      <c r="F112"/>
      <c r="H112"/>
    </row>
    <row r="113" spans="1:8" ht="18" x14ac:dyDescent="0.25">
      <c r="A113" s="20"/>
      <c r="B113" s="18" t="s">
        <v>43</v>
      </c>
      <c r="C113" s="18"/>
      <c r="D113" s="60">
        <v>60297288</v>
      </c>
      <c r="F113"/>
      <c r="H113"/>
    </row>
    <row r="114" spans="1:8" ht="18" x14ac:dyDescent="0.25">
      <c r="A114" s="20"/>
      <c r="B114" s="18"/>
      <c r="C114" s="18"/>
      <c r="D114" s="60"/>
      <c r="F114"/>
      <c r="H114"/>
    </row>
    <row r="115" spans="1:8" ht="18" x14ac:dyDescent="0.25">
      <c r="A115" s="25" t="s">
        <v>44</v>
      </c>
      <c r="B115" s="18"/>
      <c r="C115" s="18"/>
      <c r="D115" s="60"/>
      <c r="F115"/>
      <c r="H115"/>
    </row>
    <row r="116" spans="1:8" ht="18" x14ac:dyDescent="0.25">
      <c r="A116" s="20"/>
      <c r="B116" s="24" t="s">
        <v>5</v>
      </c>
      <c r="C116" s="24"/>
      <c r="D116" s="68">
        <v>300000000</v>
      </c>
      <c r="F116"/>
      <c r="H116"/>
    </row>
    <row r="117" spans="1:8" ht="18" x14ac:dyDescent="0.25">
      <c r="A117" s="20"/>
      <c r="B117" s="24" t="s">
        <v>31</v>
      </c>
      <c r="C117" s="24"/>
      <c r="D117" s="69">
        <f>SUM(D116:D116)</f>
        <v>300000000</v>
      </c>
      <c r="F117"/>
      <c r="H117"/>
    </row>
    <row r="118" spans="1:8" ht="18" x14ac:dyDescent="0.25">
      <c r="A118" s="20"/>
      <c r="B118" s="18"/>
      <c r="C118" s="18"/>
      <c r="D118" s="60"/>
      <c r="F118"/>
      <c r="H118"/>
    </row>
    <row r="119" spans="1:8" ht="18" x14ac:dyDescent="0.25">
      <c r="A119" s="21" t="s">
        <v>45</v>
      </c>
      <c r="B119" s="18"/>
      <c r="C119" s="18"/>
      <c r="D119" s="64"/>
      <c r="F119"/>
      <c r="H119"/>
    </row>
    <row r="120" spans="1:8" ht="18" x14ac:dyDescent="0.25">
      <c r="A120" s="20"/>
      <c r="B120" s="18" t="s">
        <v>5</v>
      </c>
      <c r="C120" s="18"/>
      <c r="D120" s="60">
        <v>257743272</v>
      </c>
      <c r="F120"/>
      <c r="H120"/>
    </row>
    <row r="121" spans="1:8" ht="18" x14ac:dyDescent="0.25">
      <c r="A121" s="20"/>
      <c r="B121" s="110" t="s">
        <v>6</v>
      </c>
      <c r="C121" s="111"/>
      <c r="D121" s="60">
        <v>-1933075</v>
      </c>
      <c r="F121"/>
      <c r="H121"/>
    </row>
    <row r="122" spans="1:8" s="96" customFormat="1" ht="18" x14ac:dyDescent="0.25">
      <c r="A122" s="20"/>
      <c r="B122" s="95" t="s">
        <v>59</v>
      </c>
      <c r="D122" s="60">
        <v>-49810197</v>
      </c>
    </row>
    <row r="123" spans="1:8" ht="18" x14ac:dyDescent="0.25">
      <c r="A123" s="20"/>
      <c r="B123" s="18" t="s">
        <v>7</v>
      </c>
      <c r="D123" s="63"/>
      <c r="F123"/>
      <c r="H123"/>
    </row>
    <row r="124" spans="1:8" ht="18" x14ac:dyDescent="0.25">
      <c r="A124" s="20"/>
      <c r="B124" s="112" t="s">
        <v>8</v>
      </c>
      <c r="C124" s="113"/>
      <c r="D124" s="60">
        <f>SUM(D120:D123)</f>
        <v>206000000</v>
      </c>
      <c r="F124"/>
      <c r="H124"/>
    </row>
    <row r="125" spans="1:8" ht="18" x14ac:dyDescent="0.25">
      <c r="A125" s="33"/>
      <c r="B125" s="34"/>
      <c r="C125" s="34"/>
      <c r="D125" s="70"/>
      <c r="F125"/>
      <c r="H125"/>
    </row>
    <row r="126" spans="1:8" ht="18" x14ac:dyDescent="0.25">
      <c r="A126" s="35" t="s">
        <v>46</v>
      </c>
      <c r="B126" s="36"/>
      <c r="C126" s="36"/>
      <c r="D126" s="80"/>
      <c r="F126"/>
      <c r="H126"/>
    </row>
    <row r="127" spans="1:8" ht="18" x14ac:dyDescent="0.25">
      <c r="A127" s="35"/>
      <c r="B127" s="24" t="s">
        <v>5</v>
      </c>
      <c r="C127" s="30"/>
      <c r="D127" s="68">
        <v>190859265</v>
      </c>
      <c r="F127"/>
      <c r="H127"/>
    </row>
    <row r="128" spans="1:8" ht="18" x14ac:dyDescent="0.25">
      <c r="A128" s="35"/>
      <c r="B128" s="110" t="s">
        <v>6</v>
      </c>
      <c r="C128" s="111"/>
      <c r="D128" s="68">
        <v>-1431444</v>
      </c>
      <c r="F128"/>
      <c r="H128"/>
    </row>
    <row r="129" spans="1:8" ht="18" x14ac:dyDescent="0.25">
      <c r="A129" s="35"/>
      <c r="B129" s="110" t="s">
        <v>47</v>
      </c>
      <c r="C129" s="111"/>
      <c r="D129" s="60">
        <v>-74963762</v>
      </c>
      <c r="F129"/>
      <c r="H129"/>
    </row>
    <row r="130" spans="1:8" ht="18" x14ac:dyDescent="0.25">
      <c r="A130" s="23"/>
      <c r="B130" s="24" t="s">
        <v>8</v>
      </c>
      <c r="C130" s="30"/>
      <c r="D130" s="60">
        <f>SUM(D127:D129)</f>
        <v>114464059</v>
      </c>
      <c r="F130"/>
      <c r="H130"/>
    </row>
    <row r="131" spans="1:8" ht="18" x14ac:dyDescent="0.25">
      <c r="A131" s="37"/>
      <c r="B131" s="38"/>
      <c r="C131" s="39"/>
      <c r="D131" s="81"/>
      <c r="F131"/>
      <c r="H131"/>
    </row>
    <row r="132" spans="1:8" ht="18" x14ac:dyDescent="0.25">
      <c r="A132" s="25" t="s">
        <v>48</v>
      </c>
      <c r="B132" s="40"/>
      <c r="C132" s="40"/>
      <c r="D132" s="81"/>
      <c r="F132"/>
      <c r="H132"/>
    </row>
    <row r="133" spans="1:8" ht="18" x14ac:dyDescent="0.25">
      <c r="A133" s="41"/>
      <c r="B133" s="24" t="s">
        <v>5</v>
      </c>
      <c r="C133" s="38"/>
      <c r="D133" s="60">
        <v>1124963762</v>
      </c>
      <c r="F133"/>
      <c r="H133"/>
    </row>
    <row r="134" spans="1:8" ht="18" x14ac:dyDescent="0.25">
      <c r="A134" s="41"/>
      <c r="B134" s="18" t="s">
        <v>49</v>
      </c>
      <c r="C134" s="18"/>
      <c r="D134" s="60">
        <v>-20895000</v>
      </c>
      <c r="F134"/>
      <c r="H134"/>
    </row>
    <row r="135" spans="1:8" ht="18" x14ac:dyDescent="0.25">
      <c r="A135" s="41"/>
      <c r="B135" s="18" t="s">
        <v>20</v>
      </c>
      <c r="D135" s="63">
        <v>-105000</v>
      </c>
      <c r="F135"/>
      <c r="H135"/>
    </row>
    <row r="136" spans="1:8" ht="18" x14ac:dyDescent="0.25">
      <c r="A136" s="37"/>
      <c r="B136" s="24" t="s">
        <v>31</v>
      </c>
      <c r="C136" s="38"/>
      <c r="D136" s="82">
        <f>SUM(D133:D135)</f>
        <v>1103963762</v>
      </c>
      <c r="F136"/>
      <c r="H136"/>
    </row>
    <row r="137" spans="1:8" ht="18" x14ac:dyDescent="0.25">
      <c r="A137" s="37"/>
      <c r="B137" s="38"/>
      <c r="C137" s="38"/>
      <c r="D137" s="61"/>
      <c r="F137"/>
      <c r="H137"/>
    </row>
    <row r="138" spans="1:8" ht="18" x14ac:dyDescent="0.25">
      <c r="A138" s="42" t="s">
        <v>50</v>
      </c>
      <c r="B138" s="43"/>
      <c r="C138" s="44"/>
      <c r="D138" s="73"/>
      <c r="F138"/>
      <c r="H138"/>
    </row>
    <row r="139" spans="1:8" ht="18" x14ac:dyDescent="0.25">
      <c r="A139" s="45"/>
      <c r="B139" s="46" t="s">
        <v>5</v>
      </c>
      <c r="C139" s="46"/>
      <c r="D139" s="83">
        <v>350000000</v>
      </c>
      <c r="F139"/>
      <c r="H139"/>
    </row>
    <row r="140" spans="1:8" ht="18" x14ac:dyDescent="0.25">
      <c r="A140" s="45"/>
      <c r="B140" s="46" t="s">
        <v>10</v>
      </c>
      <c r="C140" s="46"/>
      <c r="D140" s="73">
        <v>-6965000</v>
      </c>
      <c r="F140"/>
      <c r="H140"/>
    </row>
    <row r="141" spans="1:8" ht="18" x14ac:dyDescent="0.25">
      <c r="A141" s="45"/>
      <c r="B141" s="46" t="s">
        <v>20</v>
      </c>
      <c r="C141" s="46"/>
      <c r="D141" s="84">
        <v>-35000</v>
      </c>
      <c r="F141"/>
      <c r="H141"/>
    </row>
    <row r="142" spans="1:8" ht="18" x14ac:dyDescent="0.25">
      <c r="A142" s="45"/>
      <c r="B142" s="46" t="s">
        <v>8</v>
      </c>
      <c r="C142" s="46"/>
      <c r="D142" s="73">
        <f>SUM(D139:D141)</f>
        <v>343000000</v>
      </c>
      <c r="F142"/>
      <c r="H142"/>
    </row>
    <row r="143" spans="1:8" ht="18" x14ac:dyDescent="0.25">
      <c r="A143" s="45"/>
      <c r="B143" s="46"/>
      <c r="C143" s="46"/>
      <c r="D143" s="73"/>
      <c r="F143"/>
      <c r="H143"/>
    </row>
    <row r="144" spans="1:8" ht="18" x14ac:dyDescent="0.25">
      <c r="A144" s="42" t="s">
        <v>51</v>
      </c>
      <c r="B144" s="43"/>
      <c r="C144" s="44"/>
      <c r="D144" s="73"/>
      <c r="F144"/>
      <c r="H144"/>
    </row>
    <row r="145" spans="1:8" ht="18" x14ac:dyDescent="0.25">
      <c r="A145" s="45"/>
      <c r="B145" s="46" t="s">
        <v>5</v>
      </c>
      <c r="C145" s="46"/>
      <c r="D145" s="83">
        <v>50000000</v>
      </c>
      <c r="F145"/>
      <c r="H145"/>
    </row>
    <row r="146" spans="1:8" ht="18" x14ac:dyDescent="0.25">
      <c r="A146" s="45"/>
      <c r="B146" s="46" t="s">
        <v>10</v>
      </c>
      <c r="C146" s="46"/>
      <c r="D146" s="73">
        <v>-995000</v>
      </c>
      <c r="F146"/>
      <c r="H146"/>
    </row>
    <row r="147" spans="1:8" ht="18" x14ac:dyDescent="0.25">
      <c r="A147" s="45"/>
      <c r="B147" s="46" t="s">
        <v>20</v>
      </c>
      <c r="C147" s="46"/>
      <c r="D147" s="84">
        <v>-5000</v>
      </c>
      <c r="F147"/>
      <c r="H147"/>
    </row>
    <row r="148" spans="1:8" ht="18" x14ac:dyDescent="0.25">
      <c r="A148" s="45"/>
      <c r="B148" s="46" t="s">
        <v>8</v>
      </c>
      <c r="C148" s="46"/>
      <c r="D148" s="73">
        <f>SUM(D145:D147)</f>
        <v>49000000</v>
      </c>
      <c r="F148"/>
      <c r="H148"/>
    </row>
    <row r="149" spans="1:8" ht="18" x14ac:dyDescent="0.25">
      <c r="A149" s="45"/>
      <c r="B149" s="46"/>
      <c r="C149" s="46"/>
      <c r="D149" s="73"/>
      <c r="F149"/>
      <c r="H149"/>
    </row>
    <row r="150" spans="1:8" ht="18" x14ac:dyDescent="0.25">
      <c r="A150" s="42" t="s">
        <v>52</v>
      </c>
      <c r="B150" s="43"/>
      <c r="C150" s="44"/>
      <c r="D150" s="73"/>
      <c r="F150"/>
      <c r="H150"/>
    </row>
    <row r="151" spans="1:8" ht="55.5" customHeight="1" x14ac:dyDescent="0.25">
      <c r="A151" s="45"/>
      <c r="B151" s="46" t="s">
        <v>5</v>
      </c>
      <c r="C151" s="46"/>
      <c r="D151" s="83">
        <v>200000000</v>
      </c>
      <c r="F151"/>
      <c r="H151"/>
    </row>
    <row r="152" spans="1:8" ht="18" x14ac:dyDescent="0.25">
      <c r="A152" s="45"/>
      <c r="B152" s="46" t="s">
        <v>10</v>
      </c>
      <c r="C152" s="46"/>
      <c r="D152" s="73">
        <v>-3980000</v>
      </c>
      <c r="F152"/>
      <c r="H152"/>
    </row>
    <row r="153" spans="1:8" ht="18" x14ac:dyDescent="0.25">
      <c r="A153" s="45"/>
      <c r="B153" s="46" t="s">
        <v>20</v>
      </c>
      <c r="C153" s="46"/>
      <c r="D153" s="84">
        <v>-20000</v>
      </c>
      <c r="F153"/>
      <c r="H153"/>
    </row>
    <row r="154" spans="1:8" ht="18" x14ac:dyDescent="0.25">
      <c r="A154" s="45"/>
      <c r="B154" s="46" t="s">
        <v>8</v>
      </c>
      <c r="C154" s="46"/>
      <c r="D154" s="73">
        <f>SUM(D151:D153)</f>
        <v>196000000</v>
      </c>
      <c r="F154"/>
      <c r="H154"/>
    </row>
    <row r="155" spans="1:8" ht="18.75" thickBot="1" x14ac:dyDescent="0.3">
      <c r="A155" s="47"/>
      <c r="B155" s="48"/>
      <c r="C155" s="48"/>
      <c r="D155" s="85"/>
      <c r="F155"/>
      <c r="H155"/>
    </row>
    <row r="156" spans="1:8" ht="18.75" thickBot="1" x14ac:dyDescent="0.3">
      <c r="A156" s="49"/>
      <c r="B156" s="50"/>
      <c r="C156" s="50"/>
      <c r="D156" s="86"/>
      <c r="F156"/>
      <c r="H156"/>
    </row>
    <row r="157" spans="1:8" ht="18" x14ac:dyDescent="0.25">
      <c r="A157" s="20"/>
      <c r="B157" s="18"/>
      <c r="C157" s="18"/>
      <c r="D157" s="64"/>
      <c r="F157"/>
      <c r="H157"/>
    </row>
    <row r="158" spans="1:8" ht="18" x14ac:dyDescent="0.25">
      <c r="A158" s="21" t="s">
        <v>53</v>
      </c>
      <c r="B158" s="18"/>
      <c r="C158" s="18"/>
      <c r="D158" s="64"/>
      <c r="F158"/>
      <c r="H158"/>
    </row>
    <row r="159" spans="1:8" ht="48.95" customHeight="1" x14ac:dyDescent="0.25">
      <c r="A159" s="20"/>
      <c r="B159" s="18" t="s">
        <v>5</v>
      </c>
      <c r="C159" s="18"/>
      <c r="D159" s="87">
        <v>1600000000</v>
      </c>
      <c r="F159"/>
      <c r="H159"/>
    </row>
    <row r="160" spans="1:8" ht="18" x14ac:dyDescent="0.25">
      <c r="A160" s="20"/>
      <c r="B160" s="18" t="s">
        <v>6</v>
      </c>
      <c r="C160" s="18"/>
      <c r="D160" s="87">
        <v>-16000000</v>
      </c>
      <c r="F160"/>
      <c r="H160"/>
    </row>
    <row r="161" spans="1:8" ht="18" x14ac:dyDescent="0.25">
      <c r="A161" s="20"/>
      <c r="B161" s="18" t="s">
        <v>8</v>
      </c>
      <c r="C161" s="18"/>
      <c r="D161" s="88">
        <f>D159+D160</f>
        <v>1584000000</v>
      </c>
      <c r="F161"/>
      <c r="H161"/>
    </row>
    <row r="162" spans="1:8" ht="18.75" thickBot="1" x14ac:dyDescent="0.3">
      <c r="A162" s="20"/>
      <c r="B162" s="18"/>
      <c r="C162" s="18"/>
      <c r="D162" s="89"/>
      <c r="F162"/>
      <c r="H162"/>
    </row>
    <row r="163" spans="1:8" ht="18.75" thickBot="1" x14ac:dyDescent="0.3">
      <c r="A163" s="49"/>
      <c r="B163" s="50"/>
      <c r="C163" s="50"/>
      <c r="D163" s="86"/>
      <c r="F163"/>
      <c r="H163"/>
    </row>
    <row r="164" spans="1:8" ht="18" x14ac:dyDescent="0.25">
      <c r="A164" s="20"/>
      <c r="B164" s="18"/>
      <c r="C164" s="18"/>
      <c r="D164" s="64"/>
      <c r="F164"/>
      <c r="H164"/>
    </row>
    <row r="165" spans="1:8" ht="18" x14ac:dyDescent="0.25">
      <c r="A165" s="17" t="s">
        <v>54</v>
      </c>
      <c r="B165" s="18"/>
      <c r="C165" s="18"/>
      <c r="D165" s="64"/>
      <c r="F165"/>
      <c r="H165"/>
    </row>
    <row r="166" spans="1:8" ht="18" x14ac:dyDescent="0.25">
      <c r="A166" s="19"/>
      <c r="B166" s="18" t="s">
        <v>5</v>
      </c>
      <c r="C166" s="18"/>
      <c r="D166" s="89">
        <v>0</v>
      </c>
      <c r="F166"/>
      <c r="H166"/>
    </row>
    <row r="167" spans="1:8" ht="18" x14ac:dyDescent="0.25">
      <c r="A167" s="19"/>
      <c r="B167" s="18" t="s">
        <v>10</v>
      </c>
      <c r="C167" s="18"/>
      <c r="D167" s="90">
        <v>0</v>
      </c>
      <c r="F167"/>
      <c r="H167"/>
    </row>
    <row r="168" spans="1:8" ht="18" x14ac:dyDescent="0.25">
      <c r="A168" s="19"/>
      <c r="B168" s="18" t="s">
        <v>8</v>
      </c>
      <c r="C168" s="18"/>
      <c r="D168" s="89">
        <f>SUM(D166:D167)</f>
        <v>0</v>
      </c>
      <c r="F168"/>
      <c r="H168"/>
    </row>
    <row r="169" spans="1:8" ht="18.75" thickBot="1" x14ac:dyDescent="0.3">
      <c r="A169" s="20"/>
      <c r="B169" s="18"/>
      <c r="C169" s="18"/>
      <c r="D169" s="64"/>
      <c r="F169"/>
      <c r="H169"/>
    </row>
    <row r="170" spans="1:8" ht="18" x14ac:dyDescent="0.25">
      <c r="A170" s="51" t="s">
        <v>55</v>
      </c>
      <c r="B170" s="52"/>
      <c r="C170" s="52"/>
      <c r="D170" s="91">
        <f>D9+D15+D21+D25+D29+D30+D44+D53+D57+D59+D64+D70+D75+D79+D84+D88+D92+D96+D101+D105+D120+D127+D129+D133+D139+D145+D151+D159+D166</f>
        <v>9890365421</v>
      </c>
      <c r="F170"/>
      <c r="H170"/>
    </row>
    <row r="171" spans="1:8" ht="18.75" thickBot="1" x14ac:dyDescent="0.3">
      <c r="A171" s="53" t="s">
        <v>56</v>
      </c>
      <c r="B171" s="54"/>
      <c r="C171" s="54"/>
      <c r="D171" s="92">
        <f>D12+D18+D22+D32+D36+D41+D50+D54+D61+D67+D72+D76+D81+D85+D89+D93+D98+D102+D111+D117+D124+D130+D136+D142+D148+D154+D161+D168</f>
        <v>9725702603</v>
      </c>
      <c r="E171" s="55"/>
      <c r="F171"/>
      <c r="H171"/>
    </row>
    <row r="172" spans="1:8" x14ac:dyDescent="0.25">
      <c r="F172"/>
      <c r="H172"/>
    </row>
  </sheetData>
  <mergeCells count="16">
    <mergeCell ref="B121:C121"/>
    <mergeCell ref="B124:C124"/>
    <mergeCell ref="B128:C128"/>
    <mergeCell ref="B129:C129"/>
    <mergeCell ref="A8:D8"/>
    <mergeCell ref="A14:D14"/>
    <mergeCell ref="B26:C26"/>
    <mergeCell ref="B27:C27"/>
    <mergeCell ref="A43:C43"/>
    <mergeCell ref="A52:C52"/>
    <mergeCell ref="A6:D6"/>
    <mergeCell ref="A1:D1"/>
    <mergeCell ref="A2:D2"/>
    <mergeCell ref="A3:D3"/>
    <mergeCell ref="A4:D4"/>
    <mergeCell ref="A5:D5"/>
  </mergeCells>
  <printOptions horizontalCentered="1" verticalCentered="1"/>
  <pageMargins left="0.45" right="0.45" top="0.5" bottom="0.5" header="0.3" footer="0.3"/>
  <pageSetup scale="63" fitToHeight="3" orientation="portrait" horizontalDpi="1200" verticalDpi="1200" r:id="rId1"/>
  <headerFooter>
    <oddFooter>&amp;R&amp;P</oddFooter>
  </headerFooter>
  <rowBreaks count="1" manualBreakCount="1">
    <brk id="16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CR Table 1</vt:lpstr>
      <vt:lpstr>'FY 2024 CR Table 1'!Print_Area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1: FY 2024 PARTIAL YEAR (CR) APPROPRIATIONS AND APPORTIONMENTS FOR GRANT PROGRAMS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Djoumanov, Aziza (FTA)</dc:creator>
  <cp:lastModifiedBy>Ullah, Waseem CTR (FTA)</cp:lastModifiedBy>
  <dcterms:created xsi:type="dcterms:W3CDTF">2024-02-12T20:11:53Z</dcterms:created>
  <dcterms:modified xsi:type="dcterms:W3CDTF">2024-02-25T18:00:16Z</dcterms:modified>
</cp:coreProperties>
</file>