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jin.chun\Desktop\fy21 statistical summary working\FY 2021 Statistical Summary\FAST Act\Appropriations and Budget Authorities\"/>
    </mc:Choice>
  </mc:AlternateContent>
  <xr:revisionPtr revIDLastSave="0" documentId="13_ncr:1_{9641A137-AE33-439E-9627-2A28269B1113}" xr6:coauthVersionLast="47" xr6:coauthVersionMax="47" xr10:uidLastSave="{00000000-0000-0000-0000-000000000000}"/>
  <bookViews>
    <workbookView xWindow="-98" yWindow="-98" windowWidth="28996" windowHeight="15796" xr2:uid="{22DC5977-A8E2-4545-8AB7-7D0E9DB46B6B}"/>
  </bookViews>
  <sheets>
    <sheet name="2a (FY 2021)" sheetId="5" r:id="rId1"/>
    <sheet name="Table 1 (FY 2021)" sheetId="7" state="hidden" r:id="rId2"/>
    <sheet name="2a (FY 2020 Analyzed) - Ref" sheetId="4" state="hidden" r:id="rId3"/>
    <sheet name="Table 1 (FY 2020) - Ref" sheetId="6" state="hidden" r:id="rId4"/>
    <sheet name="Source-Procedure" sheetId="3" r:id="rId5"/>
  </sheets>
  <definedNames>
    <definedName name="_xlnm.Print_Area" localSheetId="3">'Table 1 (FY 2020) - Ref'!$A$1:$D$136</definedName>
    <definedName name="_xlnm.Print_Area" localSheetId="1">'Table 1 (FY 2021)'!$A$1:$D$136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7" l="1"/>
  <c r="B139" i="7"/>
  <c r="B138" i="7"/>
  <c r="F135" i="7"/>
  <c r="F23" i="7"/>
  <c r="J55" i="5" l="1"/>
  <c r="K55" i="5"/>
  <c r="F52" i="7"/>
  <c r="F118" i="6"/>
  <c r="F92" i="6"/>
  <c r="F73" i="6"/>
  <c r="F64" i="6"/>
  <c r="F34" i="6"/>
  <c r="F59" i="6"/>
  <c r="F98" i="7"/>
  <c r="F49" i="7"/>
  <c r="F19" i="7" l="1"/>
  <c r="F117" i="7"/>
  <c r="F89" i="7"/>
  <c r="F130" i="7"/>
  <c r="F13" i="7"/>
  <c r="F42" i="7" l="1"/>
  <c r="F7" i="7"/>
  <c r="D134" i="7"/>
  <c r="C55" i="5"/>
  <c r="D55" i="5"/>
  <c r="E55" i="5"/>
  <c r="F55" i="5"/>
  <c r="G55" i="5"/>
  <c r="M55" i="5"/>
  <c r="N55" i="5"/>
  <c r="O55" i="5"/>
  <c r="P55" i="5"/>
  <c r="Q55" i="5"/>
  <c r="R55" i="5"/>
  <c r="S55" i="5"/>
  <c r="T55" i="5"/>
  <c r="U55" i="5"/>
  <c r="V55" i="5"/>
  <c r="W55" i="5"/>
  <c r="X55" i="5"/>
  <c r="Z55" i="5"/>
  <c r="F136" i="6" l="1"/>
  <c r="AA53" i="5"/>
  <c r="F133" i="6"/>
  <c r="F29" i="6"/>
  <c r="F27" i="7"/>
  <c r="AC53" i="5" l="1"/>
  <c r="F17" i="6"/>
  <c r="F49" i="6" l="1"/>
  <c r="F56" i="6"/>
  <c r="F45" i="6"/>
  <c r="F26" i="6"/>
  <c r="F12" i="6"/>
  <c r="F21" i="6"/>
  <c r="F99" i="6"/>
  <c r="D132" i="7"/>
  <c r="D131" i="7"/>
  <c r="D125" i="7"/>
  <c r="D118" i="7"/>
  <c r="D114" i="7"/>
  <c r="D108" i="7"/>
  <c r="D110" i="7" s="1"/>
  <c r="D102" i="7"/>
  <c r="D104" i="7" s="1"/>
  <c r="D101" i="7"/>
  <c r="D98" i="7"/>
  <c r="D93" i="7"/>
  <c r="D94" i="7" s="1"/>
  <c r="D90" i="7"/>
  <c r="D86" i="7"/>
  <c r="D82" i="7"/>
  <c r="D78" i="7"/>
  <c r="D74" i="7"/>
  <c r="D70" i="7"/>
  <c r="D66" i="7"/>
  <c r="D61" i="7"/>
  <c r="D60" i="7"/>
  <c r="D59" i="7"/>
  <c r="D53" i="7"/>
  <c r="D56" i="7" s="1"/>
  <c r="D49" i="7"/>
  <c r="D43" i="7"/>
  <c r="D45" i="7" s="1"/>
  <c r="D39" i="7"/>
  <c r="D34" i="7"/>
  <c r="D28" i="7"/>
  <c r="D24" i="7"/>
  <c r="D30" i="7" s="1"/>
  <c r="D20" i="7"/>
  <c r="D14" i="7"/>
  <c r="D16" i="7" s="1"/>
  <c r="D10" i="7"/>
  <c r="D8" i="7"/>
  <c r="D135" i="7" l="1"/>
  <c r="D135" i="6" l="1"/>
  <c r="D133" i="6"/>
  <c r="D125" i="6"/>
  <c r="D126" i="6" s="1"/>
  <c r="D119" i="6"/>
  <c r="D114" i="6"/>
  <c r="D115" i="6" s="1"/>
  <c r="D110" i="6"/>
  <c r="D111" i="6" s="1"/>
  <c r="D105" i="6"/>
  <c r="D100" i="6"/>
  <c r="D93" i="6"/>
  <c r="D89" i="6"/>
  <c r="D86" i="6"/>
  <c r="D82" i="6"/>
  <c r="D78" i="6"/>
  <c r="D74" i="6"/>
  <c r="D136" i="6" s="1"/>
  <c r="D70" i="6"/>
  <c r="D66" i="6"/>
  <c r="D61" i="6"/>
  <c r="D56" i="6"/>
  <c r="D49" i="6"/>
  <c r="D45" i="6"/>
  <c r="D39" i="6"/>
  <c r="D35" i="6"/>
  <c r="D31" i="6"/>
  <c r="D21" i="6"/>
  <c r="D17" i="6"/>
  <c r="D12" i="6"/>
  <c r="AA52" i="5" l="1"/>
  <c r="AC52" i="5" s="1"/>
  <c r="AA51" i="5"/>
  <c r="AC51" i="5" s="1"/>
  <c r="AA50" i="5"/>
  <c r="AC49" i="5"/>
  <c r="AC48" i="5"/>
  <c r="L36" i="5"/>
  <c r="I36" i="5"/>
  <c r="H36" i="5"/>
  <c r="B36" i="5"/>
  <c r="L35" i="5"/>
  <c r="I35" i="5"/>
  <c r="H35" i="5"/>
  <c r="Y34" i="5"/>
  <c r="Y55" i="5" s="1"/>
  <c r="B31" i="5"/>
  <c r="AB30" i="5"/>
  <c r="AB55" i="5" s="1"/>
  <c r="I30" i="5"/>
  <c r="I24" i="5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G54" i="4"/>
  <c r="F54" i="4"/>
  <c r="E54" i="4"/>
  <c r="D54" i="4"/>
  <c r="C54" i="4"/>
  <c r="Y52" i="4"/>
  <c r="AA52" i="4" s="1"/>
  <c r="Y51" i="4"/>
  <c r="AA51" i="4" s="1"/>
  <c r="Y50" i="4"/>
  <c r="Y54" i="4" s="1"/>
  <c r="AA49" i="4"/>
  <c r="AA48" i="4"/>
  <c r="J36" i="4"/>
  <c r="I36" i="4"/>
  <c r="H36" i="4"/>
  <c r="H54" i="4" s="1"/>
  <c r="B36" i="4"/>
  <c r="J35" i="4"/>
  <c r="J54" i="4" s="1"/>
  <c r="I35" i="4"/>
  <c r="H35" i="4"/>
  <c r="W34" i="4"/>
  <c r="B31" i="4"/>
  <c r="B54" i="4" s="1"/>
  <c r="Z30" i="4"/>
  <c r="Z54" i="4" s="1"/>
  <c r="I30" i="4"/>
  <c r="I24" i="4"/>
  <c r="I54" i="4" s="1"/>
  <c r="B55" i="5" l="1"/>
  <c r="AA55" i="5"/>
  <c r="H55" i="5"/>
  <c r="L55" i="5"/>
  <c r="I55" i="5"/>
  <c r="AC50" i="5"/>
  <c r="AC55" i="5" s="1"/>
  <c r="AA54" i="4"/>
  <c r="AA50" i="4"/>
</calcChain>
</file>

<file path=xl/sharedStrings.xml><?xml version="1.0" encoding="utf-8"?>
<sst xmlns="http://schemas.openxmlformats.org/spreadsheetml/2006/main" count="505" uniqueCount="239">
  <si>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</si>
  <si>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</si>
  <si>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</si>
  <si>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</si>
  <si>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</si>
  <si>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</si>
  <si>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</si>
  <si>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</si>
  <si>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</si>
  <si>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</si>
  <si>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</si>
  <si>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</si>
  <si>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</si>
  <si>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</si>
  <si>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</si>
  <si>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</si>
  <si>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</si>
  <si>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</si>
  <si>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</si>
  <si>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</si>
  <si>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</si>
  <si>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</si>
  <si>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</si>
  <si>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</si>
  <si>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</si>
  <si>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</si>
  <si>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</si>
  <si>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</si>
  <si>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</si>
  <si>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</si>
  <si>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</si>
  <si>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</si>
  <si>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</si>
  <si>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</si>
  <si>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</si>
  <si>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</si>
  <si>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</si>
  <si>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</si>
  <si>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</si>
  <si>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</si>
  <si>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</si>
  <si>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</si>
  <si>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</si>
  <si>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</si>
  <si>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</si>
  <si>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</si>
  <si>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</si>
  <si>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</si>
  <si>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</si>
  <si>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</si>
  <si>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</si>
  <si>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</si>
  <si>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</si>
  <si>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</si>
  <si>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</si>
  <si>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DEVELOPMENT</t>
  </si>
  <si>
    <t>FORMULA</t>
  </si>
  <si>
    <t>&amp; RTAP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</si>
  <si>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</si>
  <si>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</si>
  <si>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</si>
  <si>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</si>
  <si>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</si>
  <si>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</si>
  <si>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</si>
  <si>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</si>
  <si>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</si>
  <si>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</si>
  <si>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</si>
  <si>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</si>
  <si>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</si>
  <si>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</si>
  <si>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</si>
  <si>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>WITH DISABILITIES</t>
  </si>
  <si>
    <t>PLANNING &amp; RESEARCH</t>
  </si>
  <si>
    <t xml:space="preserve">         FISCAL YEARS 1980-2019</t>
  </si>
  <si>
    <t>Step 1</t>
  </si>
  <si>
    <t>Step 2</t>
  </si>
  <si>
    <t xml:space="preserve">         FISCAL YEARS 1980-2020</t>
  </si>
  <si>
    <t>asis</t>
  </si>
  <si>
    <t>as is</t>
  </si>
  <si>
    <t>section 5307 less section 5340</t>
  </si>
  <si>
    <t>section 5311 less section 5340</t>
  </si>
  <si>
    <t>sum of multiple programs</t>
  </si>
  <si>
    <t>section 5337</t>
  </si>
  <si>
    <t>section 5303</t>
  </si>
  <si>
    <t>section 5310</t>
  </si>
  <si>
    <t>transit oriented development planning</t>
  </si>
  <si>
    <t>section 5307</t>
  </si>
  <si>
    <t>section 5311</t>
  </si>
  <si>
    <t>Pilot Program for Innovative Coordinated Access and Mobility</t>
  </si>
  <si>
    <t>section 5304</t>
  </si>
  <si>
    <t>Sum all Section 5340 High Density States and Section 5340 Growing States amount from both Urbanized Area Formula &amp; Rural Area Formula</t>
  </si>
  <si>
    <t>Washington Metropolitan Area Transit Authority (WMATA)</t>
  </si>
  <si>
    <t>section 5339 formula</t>
  </si>
  <si>
    <t>Section 5312 Public Transportation Innovation--Transit Research</t>
  </si>
  <si>
    <t>https://www.transit.dot.gov/sites/fta.dot.gov/files/docs/FAST_ACT_FTA_Program_Totals.pdf</t>
  </si>
  <si>
    <t>Does not match up with Apportionment Table 1</t>
  </si>
  <si>
    <t>section 5309</t>
  </si>
  <si>
    <t>why is RTAP 5311(b) not included here?</t>
  </si>
  <si>
    <t>Section 5312 Public Transportation Innovation--Component Testing</t>
  </si>
  <si>
    <t>Section 5312 Public Transportation Innovation--Transit Cooperative Research</t>
  </si>
  <si>
    <t>Section 5312(h) Public Transportation Innovation--Low or No Emission Bus Testing (if available)</t>
  </si>
  <si>
    <t>FEDERAL TRANSIT ADMINISTRATION</t>
  </si>
  <si>
    <t>TABLE 1</t>
  </si>
  <si>
    <t>FY 2020 FULL YEAR APPROPRIATIONS AND APPORTIONMENTS FOR GRANT PROGRAMS</t>
  </si>
  <si>
    <t>The total available amount for a program is based on funding authorized under The Fixing America's Surface Transportation Act (FAST) and The Further Consolidated Appropriations Act, 2020 (Pub. L. 116-94, Dec. 20, 2019).</t>
  </si>
  <si>
    <t xml:space="preserve">FORMULA </t>
  </si>
  <si>
    <t>Section 5303 Metropolitan Transportation Planning Program</t>
  </si>
  <si>
    <t>Total FY 2020 Available</t>
  </si>
  <si>
    <t>Less FY 2020 Oversight (one half percent)</t>
  </si>
  <si>
    <t>Reapportioned Funds</t>
  </si>
  <si>
    <t>Total Available for Allocation</t>
  </si>
  <si>
    <t xml:space="preserve">Section 5304 Statewide Transportation Planning Program </t>
  </si>
  <si>
    <t>Transit Oriented Development Planning (Competitive pilot)</t>
  </si>
  <si>
    <t xml:space="preserve">Section 5307 Urbanized Area Formula Program </t>
  </si>
  <si>
    <t>Less FY 2020 Oversight (three-fourths percent)</t>
  </si>
  <si>
    <t>Less FY 2020 State Safety Oversight Program (one half percent)</t>
  </si>
  <si>
    <t>Less FY 2020 Ferry Competitive Program</t>
  </si>
  <si>
    <t>Section 5340 High Density States</t>
  </si>
  <si>
    <t>Section 5340 Growing States</t>
  </si>
  <si>
    <t>Section 5307 Passenger Ferry Grant Program</t>
  </si>
  <si>
    <t>Section 5329 State Safety Oversight Program</t>
  </si>
  <si>
    <t>Section 5310 Enhanced Mobility of Seniors and Individuals with Disabilities</t>
  </si>
  <si>
    <t>Less FY 2020 Oversight (one-half percent)</t>
  </si>
  <si>
    <t>Section 5311 Rural Area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</si>
  <si>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</si>
  <si>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</si>
  <si>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</si>
  <si>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Competitive</t>
  </si>
  <si>
    <t>Section 5311(c)(2) Appalachian Development Public Transportation Assistance Program</t>
  </si>
  <si>
    <t xml:space="preserve">Total Available for Allocation  </t>
  </si>
  <si>
    <t>Section 5312(h) Public Transportation Innovation--Low or No Emission Bus Testing</t>
  </si>
  <si>
    <t>Section 5314 Technical Assistance and Workforce Development</t>
  </si>
  <si>
    <t xml:space="preserve">Section 5337 State of Good Repair </t>
  </si>
  <si>
    <t>Less FY 2020 Oversight (one percent)</t>
  </si>
  <si>
    <t>Total FY 2020 Available High Intensity Fixed Guideway Formula</t>
  </si>
  <si>
    <t>Total FY 2020 Available High Intensity Motorbus Formula</t>
  </si>
  <si>
    <t>Section 5339 Buses and Bus Facilities Formula</t>
  </si>
  <si>
    <t xml:space="preserve">Section 5339 Buses and Bus Facilities Competitive </t>
  </si>
  <si>
    <t>Less Section 5339(c) Low or No Emission Grants (Competitive)</t>
  </si>
  <si>
    <t>Section 5339(c) Low or No Emission Grants (Competitive)</t>
  </si>
  <si>
    <t>Competitive Grants to Eligible Entities to Assist Areas of Persistent Poverty</t>
  </si>
  <si>
    <t>Section 5309 Capital Investment Grants</t>
  </si>
  <si>
    <t>Less FY 2020 Oversight</t>
  </si>
  <si>
    <t xml:space="preserve">TOTAL APPROPRIATION (Above Grant Programs) </t>
  </si>
  <si>
    <t xml:space="preserve">TOTAL APPORTIONMENT/ALLOCATION (Above Grant Programs) </t>
  </si>
  <si>
    <t>FY 2021 FULL YEAR APPROPRIATIONS AND APPORTIONMENTS FOR GRANT PROGRAMS</t>
  </si>
  <si>
    <t>The total available amount for a program is based on funding authorized under The Fixing America's Surface Transportation Act (FAST) and The Consolidated Appropriations Act, 2021 (Pub. L. 116-260, Dec. 27, 2020).</t>
  </si>
  <si>
    <t>Total FY 2021 Available</t>
  </si>
  <si>
    <t>Less FY 2021 Oversight (one half percent)</t>
  </si>
  <si>
    <t>Less FY 2021 Oversight (three-fourths percent)</t>
  </si>
  <si>
    <t>Less FY 2021 State Safety Oversight Program (one half percent)</t>
  </si>
  <si>
    <t>Less FY 2021 Ferry Competitive Program</t>
  </si>
  <si>
    <t>Less FY 2021 Oversight (one-half percent)</t>
  </si>
  <si>
    <t>Less FY 2021 Oversight (one percent)</t>
  </si>
  <si>
    <t>Total FY 2021 Available High Intensity Fixed Guideway Formula</t>
  </si>
  <si>
    <t>Total FY 2021 Available High Intensity Motorbus Formula</t>
  </si>
  <si>
    <t>Less FY 2021 Oversight</t>
  </si>
  <si>
    <t>https://www.govinfo.gov/content/pkg/BILLS-116hr7095ih/html/BILLS-116hr7095ih.htm</t>
  </si>
  <si>
    <t>https://www.congress.gov/114/plaws/publ94/PLAW-114publ94.pdf</t>
  </si>
  <si>
    <t>sum of</t>
  </si>
  <si>
    <t xml:space="preserve">         FISCAL YEARS 1980-2021</t>
  </si>
  <si>
    <t>METROPOLITAN PLANNING</t>
  </si>
  <si>
    <t>ELDERLY &amp; PWD</t>
  </si>
  <si>
    <t>TRANSIT ORIENTED DEVELOPMENT</t>
  </si>
  <si>
    <t>URBANIZED AREA FORMULA</t>
  </si>
  <si>
    <t>NONURBAN AREA FORMULA</t>
  </si>
  <si>
    <t>NATIONAL TRANSIT PLANNING AND RESEARCH</t>
  </si>
  <si>
    <t>STATE PLANNING &amp; RESEARCH</t>
  </si>
  <si>
    <t>OBLIM</t>
  </si>
  <si>
    <t>GROWING STATE DENSITY</t>
  </si>
  <si>
    <t>WMATA</t>
  </si>
  <si>
    <t>Sum of all oversight amounts (formula programs)</t>
  </si>
  <si>
    <t>Total sum</t>
  </si>
  <si>
    <t>OVERSIGHT</t>
  </si>
  <si>
    <t xml:space="preserve">FY 2021 Table 1: FTA Appropriations and Apportionments for Grant Programs </t>
  </si>
  <si>
    <t>Link:  https://www.transit.dot.gov/funding/apportionments/table-1-fy-2021-fta-appropriations-and-apportionments-grant-programs</t>
  </si>
  <si>
    <t>Section 5303</t>
  </si>
  <si>
    <t>ELDERLY &amp; PERSONS WITH DISABILITIES</t>
  </si>
  <si>
    <t>Section 5310</t>
  </si>
  <si>
    <t>Transit Oriented Development Planning</t>
  </si>
  <si>
    <t>NATIONAL TRANSIT PLANNING &amp; RESEARCH</t>
  </si>
  <si>
    <t>Sum of: 
• Pilot Program for Innovative Coordinated Access and Mobility, 
• Section 5312 Public Transportation Innovation--Transit Research, 
• Section 5312 Public Transportation Innovation--Component Testing, 
• Section 5312 Public Transportation Innovation--Transit Cooperative Research, and 
• Section 5312(h) Public Transportation Innovation--Low or No Emission Bus Testing (if available)</t>
  </si>
  <si>
    <t>Section 5304</t>
  </si>
  <si>
    <t>NATIONAL TRANSIT DATABASE</t>
  </si>
  <si>
    <t>OBLIM (Section 5335)</t>
  </si>
  <si>
    <t>GROWING STATES DENSITY</t>
  </si>
  <si>
    <t>Sum of:
• Section 5340 High Density States and 
• Section 5340 Growing States 
amounts from both Urbanized Area Formula &amp; Rural Area Formula</t>
  </si>
  <si>
    <t>WASH DC METRO RAIL</t>
  </si>
  <si>
    <t>ADMINIST</t>
  </si>
  <si>
    <t>PROCEDURE:</t>
  </si>
  <si>
    <t>SOURCE:</t>
  </si>
  <si>
    <t>PASSENGER FERRY GRANT</t>
  </si>
  <si>
    <t>PUBLIC TRANSPORTATION ON INDIAN RESERVATIONS</t>
  </si>
  <si>
    <t>TECHNICAL</t>
  </si>
  <si>
    <t>ASSISTANCE AND</t>
  </si>
  <si>
    <t>WORKFORCE</t>
  </si>
  <si>
    <t>TECHNICAL ASSISTANCE AND WORKFORCE DEVELOPMENT</t>
  </si>
  <si>
    <t>AREAS OF PERSISTENT POVERTY</t>
  </si>
  <si>
    <t>AREAS OF</t>
  </si>
  <si>
    <t>PERSISTENT</t>
  </si>
  <si>
    <t>POVERTY</t>
  </si>
  <si>
    <t>APPALACHIAN DEVELOPMENT PUBLIC TRANSPORTATION ASSISTANCE</t>
  </si>
  <si>
    <t>RTAP</t>
  </si>
  <si>
    <t>TECHNICAL ASSISTANCEA ND WORKFORCE DEVELOPMENT</t>
  </si>
  <si>
    <t>AREA FORMULA</t>
  </si>
  <si>
    <t>FERRY GRANT</t>
  </si>
  <si>
    <t>URBANIZED AREA FORMULA AND PASSENGER FERRY GRANT</t>
  </si>
  <si>
    <t>AREA FORM.,</t>
  </si>
  <si>
    <t>RTAP, INDIAN RES.,</t>
  </si>
  <si>
    <t>&amp; PASSENGER</t>
  </si>
  <si>
    <t>&amp; APPALACHIAN</t>
  </si>
  <si>
    <t>&amp; RESEARCH</t>
  </si>
  <si>
    <t>NONURBAN AREA FORMULA, RTAP, INDIAN RES., &amp; APPALACHIAN</t>
  </si>
  <si>
    <t>Step 3</t>
  </si>
  <si>
    <t>Section 5337, Section 5339 Formula and Competitive, Section 5309</t>
  </si>
  <si>
    <t>Section 5314</t>
  </si>
  <si>
    <t>URBANIZED AREA FORMULA &amp; PASSENGER FERRY GRANT</t>
  </si>
  <si>
    <t>Section 5307 (i.e., Total FY 2021 Available less FY 2021 Ferry Competitive Program) less Section 5340 and Section 5307 Passenger Ferry Grant Program. Note: be careful in calculating negatives as the analyst would not want to subtract a negative value, essentially making the formula into a positive</t>
  </si>
  <si>
    <t>Validate that the total amount on Column AA less amount from National Transit Database on Column O matches the Total Appropriation Amount from FTA Appropriations and Apportionment Table 1</t>
  </si>
  <si>
    <t>All Section 5311 programs (i.e., Rural Area Formula, RTAP, Indian Reservations Formula and Competitive, and Appalachian Development) less Section 5340</t>
  </si>
  <si>
    <t>Sum of all oversight amounts of the programs that are being calculated into apportionment total in Appropriations and Apportionment Table 1</t>
  </si>
  <si>
    <t>VALIDATE:</t>
  </si>
  <si>
    <t>Total Appropriation (Table 1 above)</t>
  </si>
  <si>
    <t>Difference</t>
  </si>
  <si>
    <t>Total (Column AA) minus NTD (Column O) from Statistical Summaries Table 1</t>
  </si>
  <si>
    <t>NOTES:</t>
  </si>
  <si>
    <t>For Fiscal Year 2021, the appropriation amounts were used to compile Statistical Summary Table 1.</t>
  </si>
  <si>
    <t>The total appropriation amount in Statistical Summary Table 1 less NTD amount should match the appropriation amount from FTA Appropriation and Apportionment Table 1</t>
  </si>
  <si>
    <t>Use FTA Appropriations and Apportionment Table 1 to compile Statistical Summary Table 2 for FY 2021</t>
  </si>
  <si>
    <t>Match the program amounnts from FTA Appropriations and Apportionment Table 1 to the data table and input the amount. Make sure to use the Appropriations amount. Steps below shows steps on calculating each column</t>
  </si>
  <si>
    <t>New for FY21 Statistical Summary Table 2 are the following columns: Technical Assistance and Workforce Development and Areas of Persistent Poverty (Columns J and K). The appropriations amounts were captured for these for FY2016 and beyond.</t>
  </si>
  <si>
    <t>For CAPITAL (Column B), change from previous years, Section 5339 Buses and Bus Facilities Competitive Appropriations were included</t>
  </si>
  <si>
    <t>For URBANIZED AREA FORMULA &amp; PASSENGER FERRY GRANT (Column H), change from previous years, Section 5307 Passenger Ferry Grant Program Appropriations were included</t>
  </si>
  <si>
    <t>For NONURBAN. AREA FORM., RTAP, INDIAN RES., &amp; APPALACHIAN (Column I), change from previous years, RTAP, Indian Reservation, and Appalachiian Appropriations were included</t>
  </si>
  <si>
    <t>For ADMINIST. (Column AB), only oversight calculations were added in, to be consistent, for FY21</t>
  </si>
  <si>
    <t>Validated, $1 is Rounding Error</t>
  </si>
  <si>
    <t>The National Transit Database amounts were obtained from the OBLIM table for the corresponding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</si>
</sst>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6"/>
      <name val="Helvetica"/>
      <family val="2"/>
    </font>
    <font>
      <b/>
      <sz val="14"/>
      <color rgb="FFFF0000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u/>
      <sz val="14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3743705557422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8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37" fontId="0" fillId="0" borderId="7" xfId="0" applyNumberFormat="1" applyBorder="1" applyProtection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3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37" fontId="0" fillId="0" borderId="8" xfId="0" applyNumberForma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9" xfId="0" applyNumberFormat="1" applyFont="1" applyBorder="1" applyAlignment="1">
      <alignment horizontal="center"/>
    </xf>
    <xf numFmtId="37" fontId="0" fillId="0" borderId="8" xfId="0" applyNumberFormat="1" applyBorder="1"/>
    <xf numFmtId="37" fontId="0" fillId="0" borderId="10" xfId="0" applyNumberFormat="1" applyBorder="1"/>
    <xf numFmtId="37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Border="1"/>
    <xf numFmtId="37" fontId="0" fillId="0" borderId="0" xfId="0" applyNumberFormat="1"/>
    <xf numFmtId="37" fontId="0" fillId="0" borderId="9" xfId="0" applyNumberFormat="1" applyBorder="1"/>
    <xf numFmtId="37" fontId="0" fillId="0" borderId="16" xfId="0" applyNumberFormat="1" applyBorder="1"/>
    <xf numFmtId="37" fontId="0" fillId="0" borderId="17" xfId="0" applyNumberFormat="1" applyBorder="1"/>
    <xf numFmtId="37" fontId="0" fillId="0" borderId="18" xfId="0" applyNumberFormat="1" applyBorder="1"/>
    <xf numFmtId="37" fontId="0" fillId="0" borderId="19" xfId="0" applyNumberFormat="1" applyBorder="1"/>
    <xf numFmtId="37" fontId="0" fillId="0" borderId="21" xfId="0" applyNumberFormat="1" applyBorder="1"/>
    <xf numFmtId="37" fontId="0" fillId="0" borderId="22" xfId="0" applyNumberFormat="1" applyBorder="1"/>
    <xf numFmtId="37" fontId="0" fillId="0" borderId="23" xfId="0" applyNumberFormat="1" applyBorder="1"/>
    <xf numFmtId="37" fontId="0" fillId="0" borderId="24" xfId="0" applyNumberFormat="1" applyBorder="1"/>
    <xf numFmtId="37" fontId="0" fillId="0" borderId="7" xfId="0" applyNumberFormat="1" applyBorder="1"/>
    <xf numFmtId="37" fontId="0" fillId="0" borderId="28" xfId="0" applyNumberFormat="1" applyBorder="1"/>
    <xf numFmtId="37" fontId="0" fillId="0" borderId="26" xfId="0" applyNumberFormat="1" applyBorder="1"/>
    <xf numFmtId="164" fontId="0" fillId="2" borderId="7" xfId="0" applyNumberFormat="1" applyFill="1" applyBorder="1"/>
    <xf numFmtId="37" fontId="0" fillId="2" borderId="0" xfId="0" applyNumberFormat="1" applyFill="1"/>
    <xf numFmtId="37" fontId="0" fillId="2" borderId="7" xfId="0" applyNumberFormat="1" applyFill="1" applyBorder="1"/>
    <xf numFmtId="37" fontId="0" fillId="2" borderId="26" xfId="0" applyNumberFormat="1" applyFill="1" applyBorder="1"/>
    <xf numFmtId="37" fontId="0" fillId="2" borderId="8" xfId="0" applyNumberFormat="1" applyFill="1" applyBorder="1"/>
    <xf numFmtId="37" fontId="0" fillId="2" borderId="10" xfId="0" applyNumberFormat="1" applyFill="1" applyBorder="1"/>
    <xf numFmtId="164" fontId="0" fillId="2" borderId="0" xfId="0" applyNumberFormat="1" applyFill="1"/>
    <xf numFmtId="0" fontId="0" fillId="2" borderId="0" xfId="0" applyFill="1"/>
    <xf numFmtId="37" fontId="0" fillId="0" borderId="3" xfId="0" applyNumberFormat="1" applyBorder="1"/>
    <xf numFmtId="37" fontId="0" fillId="0" borderId="2" xfId="0" applyNumberFormat="1" applyBorder="1"/>
    <xf numFmtId="37" fontId="0" fillId="0" borderId="25" xfId="0" applyNumberFormat="1" applyBorder="1"/>
    <xf numFmtId="37" fontId="0" fillId="0" borderId="4" xfId="0" applyNumberFormat="1" applyBorder="1"/>
    <xf numFmtId="37" fontId="0" fillId="0" borderId="6" xfId="0" applyNumberFormat="1" applyBorder="1"/>
    <xf numFmtId="5" fontId="0" fillId="0" borderId="0" xfId="0" applyNumberFormat="1"/>
    <xf numFmtId="5" fontId="0" fillId="0" borderId="29" xfId="0" applyNumberFormat="1" applyBorder="1"/>
    <xf numFmtId="5" fontId="0" fillId="0" borderId="26" xfId="0" applyNumberFormat="1" applyBorder="1"/>
    <xf numFmtId="5" fontId="0" fillId="0" borderId="10" xfId="0" applyNumberFormat="1" applyBorder="1"/>
    <xf numFmtId="37" fontId="0" fillId="0" borderId="1" xfId="0" applyNumberFormat="1" applyBorder="1"/>
    <xf numFmtId="37" fontId="0" fillId="0" borderId="11" xfId="0" applyNumberFormat="1" applyBorder="1"/>
    <xf numFmtId="37" fontId="0" fillId="0" borderId="27" xfId="0" applyNumberFormat="1" applyBorder="1"/>
    <xf numFmtId="37" fontId="0" fillId="0" borderId="14" xfId="0" applyNumberFormat="1" applyBorder="1"/>
    <xf numFmtId="164" fontId="0" fillId="0" borderId="0" xfId="0" applyNumberFormat="1" applyAlignment="1">
      <alignment wrapText="1"/>
    </xf>
    <xf numFmtId="164" fontId="7" fillId="0" borderId="0" xfId="0" applyNumberFormat="1" applyFont="1" applyAlignment="1">
      <alignment wrapText="1"/>
    </xf>
    <xf numFmtId="37" fontId="0" fillId="0" borderId="0" xfId="0" applyNumberFormat="1" applyAlignment="1">
      <alignment wrapText="1"/>
    </xf>
    <xf numFmtId="37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5" fontId="0" fillId="0" borderId="0" xfId="1" applyNumberFormat="1" applyFont="1" applyAlignment="1">
      <alignment wrapText="1"/>
    </xf>
    <xf numFmtId="164" fontId="9" fillId="0" borderId="0" xfId="3" applyNumberFormat="1" applyAlignment="1">
      <alignment wrapText="1"/>
    </xf>
    <xf numFmtId="0" fontId="0" fillId="0" borderId="0" xfId="0" applyAlignment="1">
      <alignment vertical="center"/>
    </xf>
    <xf numFmtId="0" fontId="12" fillId="0" borderId="0" xfId="0" applyFont="1"/>
    <xf numFmtId="0" fontId="7" fillId="0" borderId="39" xfId="0" applyFont="1" applyBorder="1" applyAlignment="1">
      <alignment wrapText="1"/>
    </xf>
    <xf numFmtId="0" fontId="7" fillId="0" borderId="0" xfId="0" applyFont="1" applyAlignment="1">
      <alignment wrapText="1"/>
    </xf>
    <xf numFmtId="166" fontId="7" fillId="0" borderId="40" xfId="2" applyNumberFormat="1" applyFont="1" applyFill="1" applyBorder="1" applyAlignment="1">
      <alignment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6" fontId="13" fillId="0" borderId="32" xfId="2" applyNumberFormat="1" applyFont="1" applyFill="1" applyBorder="1" applyAlignment="1" applyProtection="1">
      <alignment horizontal="center" vertical="center"/>
    </xf>
    <xf numFmtId="0" fontId="15" fillId="0" borderId="39" xfId="0" applyFont="1" applyBorder="1"/>
    <xf numFmtId="0" fontId="15" fillId="0" borderId="0" xfId="0" applyFont="1"/>
    <xf numFmtId="166" fontId="15" fillId="0" borderId="40" xfId="2" applyNumberFormat="1" applyFont="1" applyFill="1" applyBorder="1" applyProtection="1"/>
    <xf numFmtId="166" fontId="15" fillId="0" borderId="40" xfId="2" applyNumberFormat="1" applyFont="1" applyFill="1" applyBorder="1"/>
    <xf numFmtId="0" fontId="16" fillId="0" borderId="0" xfId="0" applyFont="1"/>
    <xf numFmtId="166" fontId="15" fillId="0" borderId="41" xfId="2" applyNumberFormat="1" applyFont="1" applyFill="1" applyBorder="1"/>
    <xf numFmtId="166" fontId="15" fillId="0" borderId="40" xfId="2" applyNumberFormat="1" applyFont="1" applyFill="1" applyBorder="1" applyProtection="1">
      <protection locked="0"/>
    </xf>
    <xf numFmtId="166" fontId="15" fillId="0" borderId="41" xfId="2" applyNumberFormat="1" applyFont="1" applyFill="1" applyBorder="1" applyProtection="1"/>
    <xf numFmtId="37" fontId="17" fillId="0" borderId="39" xfId="0" applyNumberFormat="1" applyFont="1" applyBorder="1"/>
    <xf numFmtId="0" fontId="4" fillId="0" borderId="39" xfId="0" applyFont="1" applyBorder="1"/>
    <xf numFmtId="0" fontId="16" fillId="0" borderId="39" xfId="0" applyFont="1" applyBorder="1"/>
    <xf numFmtId="0" fontId="17" fillId="0" borderId="39" xfId="0" applyFont="1" applyBorder="1"/>
    <xf numFmtId="166" fontId="18" fillId="0" borderId="40" xfId="2" applyNumberFormat="1" applyFont="1" applyFill="1" applyBorder="1" applyProtection="1"/>
    <xf numFmtId="0" fontId="4" fillId="0" borderId="0" xfId="0" applyFont="1"/>
    <xf numFmtId="166" fontId="19" fillId="0" borderId="40" xfId="2" applyNumberFormat="1" applyFont="1" applyFill="1" applyBorder="1" applyAlignment="1">
      <alignment wrapText="1"/>
    </xf>
    <xf numFmtId="0" fontId="0" fillId="0" borderId="42" xfId="0" applyBorder="1"/>
    <xf numFmtId="3" fontId="0" fillId="0" borderId="42" xfId="0" applyNumberFormat="1" applyBorder="1"/>
    <xf numFmtId="44" fontId="0" fillId="0" borderId="0" xfId="0" applyNumberFormat="1"/>
    <xf numFmtId="166" fontId="18" fillId="0" borderId="40" xfId="2" applyNumberFormat="1" applyFont="1" applyFill="1" applyBorder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22" fillId="0" borderId="0" xfId="0" applyFont="1"/>
    <xf numFmtId="0" fontId="14" fillId="0" borderId="39" xfId="0" applyFont="1" applyBorder="1"/>
    <xf numFmtId="0" fontId="23" fillId="0" borderId="0" xfId="0" applyFont="1"/>
    <xf numFmtId="166" fontId="1" fillId="0" borderId="40" xfId="2" applyNumberFormat="1" applyFont="1" applyFill="1" applyBorder="1"/>
    <xf numFmtId="0" fontId="24" fillId="0" borderId="0" xfId="0" applyFont="1"/>
    <xf numFmtId="166" fontId="16" fillId="0" borderId="40" xfId="2" applyNumberFormat="1" applyFont="1" applyFill="1" applyBorder="1"/>
    <xf numFmtId="166" fontId="16" fillId="0" borderId="41" xfId="2" applyNumberFormat="1" applyFont="1" applyFill="1" applyBorder="1"/>
    <xf numFmtId="0" fontId="16" fillId="0" borderId="36" xfId="0" applyFont="1" applyBorder="1"/>
    <xf numFmtId="0" fontId="16" fillId="0" borderId="37" xfId="0" applyFont="1" applyBorder="1"/>
    <xf numFmtId="166" fontId="16" fillId="0" borderId="38" xfId="2" applyNumberFormat="1" applyFont="1" applyFill="1" applyBorder="1"/>
    <xf numFmtId="166" fontId="16" fillId="0" borderId="40" xfId="2" applyNumberFormat="1" applyFont="1" applyFill="1" applyBorder="1" applyAlignment="1" applyProtection="1"/>
    <xf numFmtId="166" fontId="16" fillId="0" borderId="41" xfId="2" applyNumberFormat="1" applyFont="1" applyFill="1" applyBorder="1" applyProtection="1"/>
    <xf numFmtId="166" fontId="16" fillId="0" borderId="40" xfId="2" applyNumberFormat="1" applyFont="1" applyFill="1" applyBorder="1" applyProtection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33" xfId="0" applyFont="1" applyBorder="1"/>
    <xf numFmtId="0" fontId="16" fillId="0" borderId="34" xfId="0" applyFont="1" applyBorder="1"/>
    <xf numFmtId="166" fontId="18" fillId="0" borderId="35" xfId="2" applyNumberFormat="1" applyFont="1" applyFill="1" applyBorder="1" applyProtection="1"/>
    <xf numFmtId="0" fontId="10" fillId="0" borderId="39" xfId="0" applyFont="1" applyBorder="1" applyAlignment="1">
      <alignment vertical="center"/>
    </xf>
    <xf numFmtId="0" fontId="10" fillId="0" borderId="0" xfId="0" applyFont="1" applyAlignment="1">
      <alignment vertical="center"/>
    </xf>
    <xf numFmtId="166" fontId="2" fillId="0" borderId="40" xfId="2" applyNumberFormat="1" applyFont="1" applyFill="1" applyBorder="1" applyAlignment="1" applyProtection="1">
      <alignment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166" fontId="2" fillId="0" borderId="35" xfId="2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6" fontId="13" fillId="0" borderId="0" xfId="2" applyNumberFormat="1" applyFont="1" applyFill="1" applyBorder="1" applyAlignment="1" applyProtection="1">
      <alignment vertical="center"/>
    </xf>
    <xf numFmtId="166" fontId="7" fillId="0" borderId="0" xfId="2" applyNumberFormat="1" applyFont="1" applyFill="1"/>
    <xf numFmtId="166" fontId="0" fillId="0" borderId="0" xfId="0" applyNumberFormat="1"/>
    <xf numFmtId="166" fontId="15" fillId="0" borderId="43" xfId="2" applyNumberFormat="1" applyFont="1" applyFill="1" applyBorder="1" applyProtection="1"/>
    <xf numFmtId="167" fontId="0" fillId="0" borderId="0" xfId="0" applyNumberFormat="1"/>
    <xf numFmtId="166" fontId="8" fillId="0" borderId="0" xfId="0" applyNumberFormat="1" applyFont="1"/>
    <xf numFmtId="0" fontId="8" fillId="0" borderId="0" xfId="0" applyFont="1"/>
    <xf numFmtId="3" fontId="8" fillId="0" borderId="42" xfId="0" applyNumberFormat="1" applyFont="1" applyBorder="1"/>
    <xf numFmtId="0" fontId="16" fillId="0" borderId="44" xfId="0" applyFont="1" applyBorder="1"/>
    <xf numFmtId="0" fontId="16" fillId="0" borderId="42" xfId="0" applyFont="1" applyBorder="1"/>
    <xf numFmtId="166" fontId="15" fillId="0" borderId="45" xfId="2" applyNumberFormat="1" applyFont="1" applyFill="1" applyBorder="1" applyProtection="1"/>
    <xf numFmtId="166" fontId="15" fillId="0" borderId="47" xfId="2" applyNumberFormat="1" applyFont="1" applyFill="1" applyBorder="1" applyProtection="1"/>
    <xf numFmtId="0" fontId="17" fillId="0" borderId="44" xfId="0" applyFont="1" applyBorder="1"/>
    <xf numFmtId="166" fontId="18" fillId="0" borderId="45" xfId="2" applyNumberFormat="1" applyFont="1" applyFill="1" applyBorder="1" applyProtection="1"/>
    <xf numFmtId="166" fontId="15" fillId="0" borderId="48" xfId="2" applyNumberFormat="1" applyFont="1" applyFill="1" applyBorder="1" applyProtection="1"/>
    <xf numFmtId="44" fontId="0" fillId="0" borderId="42" xfId="0" applyNumberFormat="1" applyBorder="1"/>
    <xf numFmtId="0" fontId="4" fillId="0" borderId="0" xfId="0" applyFont="1" applyAlignment="1">
      <alignment wrapText="1"/>
    </xf>
    <xf numFmtId="0" fontId="20" fillId="0" borderId="42" xfId="0" applyFont="1" applyBorder="1"/>
    <xf numFmtId="0" fontId="20" fillId="0" borderId="42" xfId="0" applyFont="1" applyBorder="1" applyAlignment="1">
      <alignment wrapText="1"/>
    </xf>
    <xf numFmtId="0" fontId="22" fillId="0" borderId="42" xfId="0" applyFont="1" applyBorder="1"/>
    <xf numFmtId="166" fontId="18" fillId="0" borderId="45" xfId="2" applyNumberFormat="1" applyFont="1" applyFill="1" applyBorder="1"/>
    <xf numFmtId="0" fontId="15" fillId="0" borderId="44" xfId="0" applyFont="1" applyBorder="1"/>
    <xf numFmtId="0" fontId="15" fillId="0" borderId="42" xfId="0" applyFont="1" applyBorder="1"/>
    <xf numFmtId="0" fontId="14" fillId="0" borderId="44" xfId="0" applyFont="1" applyBorder="1"/>
    <xf numFmtId="0" fontId="23" fillId="0" borderId="42" xfId="0" applyFont="1" applyBorder="1"/>
    <xf numFmtId="166" fontId="18" fillId="0" borderId="49" xfId="2" applyNumberFormat="1" applyFont="1" applyFill="1" applyBorder="1" applyProtection="1"/>
    <xf numFmtId="0" fontId="16" fillId="0" borderId="50" xfId="0" applyFont="1" applyBorder="1"/>
    <xf numFmtId="166" fontId="15" fillId="0" borderId="52" xfId="2" applyNumberFormat="1" applyFont="1" applyFill="1" applyBorder="1" applyProtection="1"/>
    <xf numFmtId="166" fontId="15" fillId="0" borderId="53" xfId="2" applyNumberFormat="1" applyFont="1" applyFill="1" applyBorder="1" applyProtection="1"/>
    <xf numFmtId="0" fontId="16" fillId="0" borderId="54" xfId="0" applyFont="1" applyBorder="1"/>
    <xf numFmtId="0" fontId="16" fillId="0" borderId="55" xfId="0" applyFont="1" applyBorder="1"/>
    <xf numFmtId="0" fontId="16" fillId="0" borderId="56" xfId="0" applyFont="1" applyBorder="1"/>
    <xf numFmtId="166" fontId="1" fillId="0" borderId="57" xfId="2" applyNumberFormat="1" applyFont="1" applyFill="1" applyBorder="1"/>
    <xf numFmtId="0" fontId="24" fillId="0" borderId="42" xfId="0" applyFont="1" applyBorder="1"/>
    <xf numFmtId="166" fontId="15" fillId="0" borderId="58" xfId="2" applyNumberFormat="1" applyFont="1" applyFill="1" applyBorder="1"/>
    <xf numFmtId="166" fontId="15" fillId="0" borderId="53" xfId="2" applyNumberFormat="1" applyFont="1" applyFill="1" applyBorder="1"/>
    <xf numFmtId="0" fontId="17" fillId="0" borderId="0" xfId="0" applyFont="1"/>
    <xf numFmtId="0" fontId="16" fillId="0" borderId="59" xfId="0" applyFont="1" applyBorder="1"/>
    <xf numFmtId="0" fontId="16" fillId="0" borderId="60" xfId="0" applyFont="1" applyBorder="1"/>
    <xf numFmtId="0" fontId="16" fillId="0" borderId="61" xfId="0" applyFont="1" applyBorder="1"/>
    <xf numFmtId="0" fontId="16" fillId="0" borderId="62" xfId="0" applyFont="1" applyBorder="1"/>
    <xf numFmtId="0" fontId="4" fillId="0" borderId="64" xfId="0" applyFont="1" applyBorder="1"/>
    <xf numFmtId="0" fontId="4" fillId="0" borderId="65" xfId="0" applyFont="1" applyBorder="1"/>
    <xf numFmtId="166" fontId="4" fillId="0" borderId="66" xfId="2" applyNumberFormat="1" applyFont="1" applyFill="1" applyBorder="1"/>
    <xf numFmtId="166" fontId="16" fillId="0" borderId="43" xfId="2" applyNumberFormat="1" applyFont="1" applyFill="1" applyBorder="1" applyProtection="1"/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166" fontId="2" fillId="0" borderId="32" xfId="2" applyNumberFormat="1" applyFont="1" applyFill="1" applyBorder="1" applyAlignment="1" applyProtection="1">
      <alignment vertical="center"/>
    </xf>
    <xf numFmtId="166" fontId="0" fillId="0" borderId="42" xfId="2" applyNumberFormat="1" applyFont="1" applyBorder="1"/>
    <xf numFmtId="164" fontId="4" fillId="0" borderId="0" xfId="0" applyNumberFormat="1" applyFont="1" applyAlignment="1">
      <alignment wrapText="1"/>
    </xf>
    <xf numFmtId="166" fontId="0" fillId="0" borderId="0" xfId="2" applyNumberFormat="1" applyFont="1"/>
    <xf numFmtId="0" fontId="0" fillId="0" borderId="0" xfId="0" applyBorder="1"/>
    <xf numFmtId="3" fontId="0" fillId="0" borderId="0" xfId="0" applyNumberFormat="1" applyBorder="1"/>
    <xf numFmtId="5" fontId="0" fillId="0" borderId="8" xfId="0" applyNumberFormat="1" applyBorder="1" applyProtection="1"/>
    <xf numFmtId="37" fontId="0" fillId="0" borderId="12" xfId="0" applyNumberFormat="1" applyBorder="1" applyProtection="1"/>
    <xf numFmtId="37" fontId="4" fillId="0" borderId="7" xfId="0" applyNumberFormat="1" applyFont="1" applyBorder="1" applyAlignment="1" applyProtection="1">
      <alignment horizontal="center"/>
    </xf>
    <xf numFmtId="37" fontId="4" fillId="0" borderId="8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37" fontId="0" fillId="0" borderId="15" xfId="0" applyNumberFormat="1" applyBorder="1" applyProtection="1"/>
    <xf numFmtId="37" fontId="0" fillId="0" borderId="20" xfId="0" applyNumberFormat="1" applyBorder="1" applyProtection="1"/>
    <xf numFmtId="37" fontId="0" fillId="0" borderId="7" xfId="0" applyNumberFormat="1" applyFill="1" applyBorder="1" applyProtection="1"/>
    <xf numFmtId="5" fontId="0" fillId="0" borderId="7" xfId="0" applyNumberFormat="1" applyBorder="1" applyProtection="1"/>
    <xf numFmtId="166" fontId="15" fillId="3" borderId="40" xfId="2" applyNumberFormat="1" applyFont="1" applyFill="1" applyBorder="1" applyProtection="1"/>
    <xf numFmtId="166" fontId="15" fillId="3" borderId="41" xfId="2" applyNumberFormat="1" applyFont="1" applyFill="1" applyBorder="1" applyProtection="1"/>
    <xf numFmtId="166" fontId="26" fillId="3" borderId="40" xfId="2" applyNumberFormat="1" applyFont="1" applyFill="1" applyBorder="1" applyProtection="1"/>
    <xf numFmtId="166" fontId="15" fillId="3" borderId="46" xfId="2" applyNumberFormat="1" applyFont="1" applyFill="1" applyBorder="1" applyProtection="1"/>
    <xf numFmtId="166" fontId="15" fillId="3" borderId="51" xfId="2" applyNumberFormat="1" applyFont="1" applyFill="1" applyBorder="1" applyProtection="1"/>
    <xf numFmtId="166" fontId="16" fillId="3" borderId="40" xfId="2" applyNumberFormat="1" applyFont="1" applyFill="1" applyBorder="1" applyAlignment="1" applyProtection="1"/>
    <xf numFmtId="166" fontId="16" fillId="3" borderId="63" xfId="2" applyNumberFormat="1" applyFont="1" applyFill="1" applyBorder="1"/>
    <xf numFmtId="166" fontId="16" fillId="3" borderId="40" xfId="2" applyNumberFormat="1" applyFont="1" applyFill="1" applyBorder="1" applyProtection="1"/>
    <xf numFmtId="164" fontId="0" fillId="0" borderId="0" xfId="0" applyNumberFormat="1" applyFont="1" applyFill="1" applyBorder="1" applyAlignment="1">
      <alignment horizontal="center"/>
    </xf>
    <xf numFmtId="37" fontId="0" fillId="0" borderId="0" xfId="0" applyNumberFormat="1" applyFill="1" applyProtection="1"/>
    <xf numFmtId="37" fontId="0" fillId="0" borderId="0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7" xfId="0" applyFill="1" applyBorder="1" applyAlignment="1">
      <alignment vertical="center" wrapText="1"/>
    </xf>
    <xf numFmtId="0" fontId="0" fillId="0" borderId="67" xfId="0" applyBorder="1"/>
    <xf numFmtId="0" fontId="0" fillId="0" borderId="67" xfId="0" applyBorder="1" applyAlignment="1">
      <alignment wrapText="1"/>
    </xf>
    <xf numFmtId="166" fontId="0" fillId="0" borderId="67" xfId="2" applyNumberFormat="1" applyFont="1" applyBorder="1"/>
    <xf numFmtId="166" fontId="0" fillId="0" borderId="67" xfId="0" applyNumberFormat="1" applyBorder="1"/>
    <xf numFmtId="168" fontId="7" fillId="0" borderId="0" xfId="2" applyNumberFormat="1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6" fillId="0" borderId="0" xfId="0" applyFont="1"/>
    <xf numFmtId="0" fontId="4" fillId="0" borderId="0" xfId="0" applyFont="1"/>
    <xf numFmtId="0" fontId="17" fillId="0" borderId="39" xfId="0" applyFont="1" applyBorder="1" applyAlignment="1">
      <alignment wrapText="1"/>
    </xf>
    <xf numFmtId="0" fontId="4" fillId="0" borderId="0" xfId="0" applyFont="1" applyAlignment="1">
      <alignment wrapText="1"/>
    </xf>
    <xf numFmtId="0" fontId="17" fillId="0" borderId="44" xfId="0" applyFont="1" applyBorder="1"/>
    <xf numFmtId="0" fontId="20" fillId="0" borderId="42" xfId="0" applyFont="1" applyBorder="1"/>
    <xf numFmtId="0" fontId="16" fillId="0" borderId="0" xfId="0" applyFont="1" applyAlignment="1">
      <alignment wrapText="1"/>
    </xf>
    <xf numFmtId="0" fontId="14" fillId="0" borderId="3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40" xfId="0" applyFont="1" applyBorder="1" applyAlignment="1">
      <alignment horizontal="left"/>
    </xf>
    <xf numFmtId="0" fontId="6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1" fillId="0" borderId="36" xfId="0" applyFont="1" applyBorder="1" applyAlignment="1">
      <alignment horizontal="center" vertical="center" wrapText="1"/>
    </xf>
    <xf numFmtId="0" fontId="17" fillId="0" borderId="39" xfId="0" applyFont="1" applyBorder="1"/>
    <xf numFmtId="0" fontId="20" fillId="0" borderId="0" xfId="0" applyFont="1"/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info.gov/content/pkg/BILLS-116hr7095ih/html/BILLS-116hr7095ih.htm" TargetMode="External"/><Relationship Id="rId2" Type="http://schemas.openxmlformats.org/officeDocument/2006/relationships/hyperlink" Target="https://www.congress.gov/114/plaws/publ94/PLAW-114publ94.pdf" TargetMode="External"/><Relationship Id="rId1" Type="http://schemas.openxmlformats.org/officeDocument/2006/relationships/hyperlink" Target="https://www.transit.dot.gov/sites/fta.dot.gov/files/docs/FAST_ACT_FTA_Program_Totals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19D2-B200-4E3A-AF1B-4966C69B7BF9}">
  <dimension ref="A1:AE59"/>
  <sheetViews>
    <sheetView tabSelected="1" workbookViewId="0"/>
  </sheetViews>
  <sheetFormatPr defaultRowHeight="14.25" x14ac:dyDescent="0.45"/>
  <cols>
    <col min="1" max="28" width="15.59765625" style="1" customWidth="1"/>
    <col min="29" max="29" width="15.73046875" style="1" bestFit="1" customWidth="1"/>
    <col min="30" max="30" width="3.73046875" style="1" hidden="1" customWidth="1"/>
    <col min="31" max="31" width="7.265625" style="1" customWidth="1"/>
  </cols>
  <sheetData>
    <row r="1" spans="1:31" ht="20.65" x14ac:dyDescent="0.6">
      <c r="A1" s="65" t="s">
        <v>1</v>
      </c>
      <c r="D1" s="2"/>
      <c r="E1" s="2"/>
      <c r="F1" s="2"/>
      <c r="G1" s="2"/>
      <c r="H1" s="2" t="s">
        <v>0</v>
      </c>
      <c r="L1" s="2"/>
      <c r="R1" s="269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</row>
    <row r="2" spans="1:31" ht="17.649999999999999" x14ac:dyDescent="0.5">
      <c r="D2" s="2"/>
      <c r="E2" s="2"/>
      <c r="F2" s="2"/>
      <c r="G2" s="2"/>
      <c r="H2" s="2"/>
      <c r="I2" s="2"/>
      <c r="J2" s="2"/>
      <c r="K2" s="2"/>
      <c r="S2" s="3"/>
      <c r="T2" s="3"/>
    </row>
    <row r="3" spans="1:31" ht="15.75" customHeight="1" x14ac:dyDescent="0.5">
      <c r="A3" s="271" t="s">
        <v>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1" t="s">
        <v>3</v>
      </c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</row>
    <row r="4" spans="1:31" ht="15.75" customHeight="1" x14ac:dyDescent="0.55000000000000004">
      <c r="A4" s="271" t="s">
        <v>162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1" t="s">
        <v>162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</row>
    <row r="5" spans="1:31" ht="15.75" thickBot="1" x14ac:dyDescent="0.5">
      <c r="A5" s="4" t="s">
        <v>4</v>
      </c>
      <c r="H5" s="4"/>
      <c r="I5" s="4"/>
      <c r="J5" s="4"/>
      <c r="K5" s="4"/>
      <c r="S5" s="5"/>
      <c r="T5" s="5"/>
    </row>
    <row r="6" spans="1:31" ht="14.65" thickTop="1" x14ac:dyDescent="0.45">
      <c r="A6" s="42"/>
      <c r="B6" s="43" t="s">
        <v>5</v>
      </c>
      <c r="C6" s="43" t="s">
        <v>5</v>
      </c>
      <c r="D6" s="43"/>
      <c r="E6" s="43"/>
      <c r="F6" s="43"/>
      <c r="G6" s="43" t="s">
        <v>6</v>
      </c>
      <c r="H6" s="43" t="s">
        <v>5</v>
      </c>
      <c r="I6" s="43"/>
      <c r="J6" s="43"/>
      <c r="K6" s="43"/>
      <c r="L6" s="43"/>
      <c r="M6" s="43"/>
      <c r="N6" s="43"/>
      <c r="O6" s="43"/>
      <c r="P6" s="44"/>
      <c r="Q6" s="42"/>
      <c r="R6" s="44"/>
      <c r="S6" s="43"/>
      <c r="T6" s="43"/>
      <c r="U6" s="43"/>
      <c r="V6" s="43"/>
      <c r="W6" s="43"/>
      <c r="X6" s="43"/>
      <c r="Y6" s="43"/>
      <c r="Z6" s="43"/>
      <c r="AA6" s="43"/>
      <c r="AB6" s="44"/>
      <c r="AC6" s="7"/>
      <c r="AE6"/>
    </row>
    <row r="7" spans="1:31" x14ac:dyDescent="0.45">
      <c r="A7" s="45" t="s">
        <v>7</v>
      </c>
      <c r="B7" s="46" t="s">
        <v>8</v>
      </c>
      <c r="C7" s="46" t="s">
        <v>9</v>
      </c>
      <c r="D7" s="47" t="s">
        <v>10</v>
      </c>
      <c r="E7" s="62" t="s">
        <v>11</v>
      </c>
      <c r="F7" s="47" t="s">
        <v>12</v>
      </c>
      <c r="G7" s="46" t="s">
        <v>13</v>
      </c>
      <c r="H7" s="46" t="s">
        <v>14</v>
      </c>
      <c r="I7" s="46" t="s">
        <v>15</v>
      </c>
      <c r="J7" s="256" t="s">
        <v>195</v>
      </c>
      <c r="K7" s="256" t="s">
        <v>200</v>
      </c>
      <c r="L7" s="46" t="s">
        <v>16</v>
      </c>
      <c r="M7" s="46" t="s">
        <v>17</v>
      </c>
      <c r="N7" s="46" t="s">
        <v>18</v>
      </c>
      <c r="O7" s="256" t="s">
        <v>19</v>
      </c>
      <c r="P7" s="48" t="s">
        <v>20</v>
      </c>
      <c r="Q7" s="237" t="s">
        <v>21</v>
      </c>
      <c r="R7" s="238" t="s">
        <v>22</v>
      </c>
      <c r="S7" s="59" t="s">
        <v>23</v>
      </c>
      <c r="T7" s="46" t="s">
        <v>24</v>
      </c>
      <c r="U7" s="46" t="s">
        <v>25</v>
      </c>
      <c r="V7" s="46" t="s">
        <v>26</v>
      </c>
      <c r="W7" s="46" t="s">
        <v>27</v>
      </c>
      <c r="X7" s="59" t="s">
        <v>28</v>
      </c>
      <c r="Y7" s="46" t="s">
        <v>29</v>
      </c>
      <c r="Z7" s="47" t="s">
        <v>30</v>
      </c>
      <c r="AA7" s="10" t="s">
        <v>5</v>
      </c>
      <c r="AB7" s="49" t="s">
        <v>5</v>
      </c>
      <c r="AC7" s="9"/>
      <c r="AE7"/>
    </row>
    <row r="8" spans="1:31" x14ac:dyDescent="0.45">
      <c r="A8" s="45" t="s">
        <v>31</v>
      </c>
      <c r="B8" s="10"/>
      <c r="C8" s="46" t="s">
        <v>32</v>
      </c>
      <c r="D8" s="47" t="s">
        <v>33</v>
      </c>
      <c r="E8" s="62" t="s">
        <v>34</v>
      </c>
      <c r="F8" s="47" t="s">
        <v>35</v>
      </c>
      <c r="G8" s="46" t="s">
        <v>36</v>
      </c>
      <c r="H8" s="46" t="s">
        <v>206</v>
      </c>
      <c r="I8" s="46" t="s">
        <v>209</v>
      </c>
      <c r="J8" s="256" t="s">
        <v>196</v>
      </c>
      <c r="K8" s="256" t="s">
        <v>201</v>
      </c>
      <c r="L8" s="46" t="s">
        <v>39</v>
      </c>
      <c r="M8" s="46" t="s">
        <v>40</v>
      </c>
      <c r="N8" s="46" t="s">
        <v>41</v>
      </c>
      <c r="O8" s="256" t="s">
        <v>39</v>
      </c>
      <c r="P8" s="48" t="s">
        <v>42</v>
      </c>
      <c r="Q8" s="237" t="s">
        <v>43</v>
      </c>
      <c r="R8" s="238" t="s">
        <v>44</v>
      </c>
      <c r="S8" s="59" t="s">
        <v>45</v>
      </c>
      <c r="T8" s="46" t="s">
        <v>46</v>
      </c>
      <c r="U8" s="46" t="s">
        <v>47</v>
      </c>
      <c r="V8" s="46" t="s">
        <v>48</v>
      </c>
      <c r="W8" s="46" t="s">
        <v>49</v>
      </c>
      <c r="X8" s="59" t="s">
        <v>50</v>
      </c>
      <c r="Y8" s="46" t="s">
        <v>51</v>
      </c>
      <c r="Z8" s="47" t="s">
        <v>52</v>
      </c>
      <c r="AA8" s="10"/>
      <c r="AB8" s="50"/>
      <c r="AC8" s="12" t="s">
        <v>53</v>
      </c>
      <c r="AE8"/>
    </row>
    <row r="9" spans="1:31" x14ac:dyDescent="0.45">
      <c r="A9" s="51"/>
      <c r="B9" s="10"/>
      <c r="C9" s="46" t="s">
        <v>54</v>
      </c>
      <c r="D9" s="46" t="s">
        <v>73</v>
      </c>
      <c r="E9" s="59" t="s">
        <v>55</v>
      </c>
      <c r="F9" s="10"/>
      <c r="G9" s="10"/>
      <c r="H9" s="47" t="s">
        <v>211</v>
      </c>
      <c r="I9" s="254" t="s">
        <v>210</v>
      </c>
      <c r="J9" s="254" t="s">
        <v>197</v>
      </c>
      <c r="K9" s="254" t="s">
        <v>202</v>
      </c>
      <c r="L9" s="47" t="s">
        <v>54</v>
      </c>
      <c r="M9" s="47" t="s">
        <v>58</v>
      </c>
      <c r="N9" s="10"/>
      <c r="O9" s="256" t="s">
        <v>59</v>
      </c>
      <c r="P9" s="52"/>
      <c r="Q9" s="45"/>
      <c r="R9" s="239" t="s">
        <v>60</v>
      </c>
      <c r="S9" s="62" t="s">
        <v>61</v>
      </c>
      <c r="T9" s="10"/>
      <c r="U9" s="47" t="s">
        <v>62</v>
      </c>
      <c r="V9" s="47" t="s">
        <v>63</v>
      </c>
      <c r="W9" s="47" t="s">
        <v>64</v>
      </c>
      <c r="X9" s="62" t="s">
        <v>65</v>
      </c>
      <c r="Y9" s="47" t="s">
        <v>66</v>
      </c>
      <c r="Z9" s="47" t="s">
        <v>67</v>
      </c>
      <c r="AA9" s="46" t="s">
        <v>53</v>
      </c>
      <c r="AB9" s="48" t="s">
        <v>68</v>
      </c>
      <c r="AC9" s="14"/>
      <c r="AE9"/>
    </row>
    <row r="10" spans="1:31" ht="14.65" thickBot="1" x14ac:dyDescent="0.5">
      <c r="A10" s="53"/>
      <c r="B10" s="54"/>
      <c r="C10" s="54"/>
      <c r="D10" s="55"/>
      <c r="E10" s="55"/>
      <c r="F10" s="54"/>
      <c r="G10" s="54"/>
      <c r="H10" s="56" t="s">
        <v>207</v>
      </c>
      <c r="I10" s="56" t="s">
        <v>212</v>
      </c>
      <c r="J10" s="257" t="s">
        <v>55</v>
      </c>
      <c r="K10" s="257"/>
      <c r="L10" s="56" t="s">
        <v>213</v>
      </c>
      <c r="M10" s="56"/>
      <c r="N10" s="54"/>
      <c r="O10" s="54"/>
      <c r="P10" s="57"/>
      <c r="Q10" s="240"/>
      <c r="R10" s="241" t="s">
        <v>70</v>
      </c>
      <c r="S10" s="63" t="s">
        <v>56</v>
      </c>
      <c r="T10" s="54"/>
      <c r="U10" s="54"/>
      <c r="V10" s="54"/>
      <c r="W10" s="54"/>
      <c r="X10" s="63" t="s">
        <v>71</v>
      </c>
      <c r="Y10" s="54"/>
      <c r="Z10" s="54"/>
      <c r="AA10" s="54"/>
      <c r="AB10" s="58"/>
      <c r="AC10" s="16"/>
      <c r="AE10"/>
    </row>
    <row r="11" spans="1:31" ht="14.65" thickTop="1" x14ac:dyDescent="0.4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1"/>
      <c r="Q11" s="13"/>
      <c r="R11" s="11"/>
      <c r="S11" s="3"/>
      <c r="T11" s="3"/>
      <c r="U11" s="3"/>
      <c r="V11" s="3"/>
      <c r="W11" s="3"/>
      <c r="X11" s="3"/>
      <c r="Y11" s="3"/>
      <c r="Z11" s="3"/>
      <c r="AA11" s="3"/>
      <c r="AB11" s="11"/>
      <c r="AC11" s="7"/>
      <c r="AE11"/>
    </row>
    <row r="12" spans="1:31" x14ac:dyDescent="0.4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0</v>
      </c>
      <c r="K12" s="18">
        <v>0</v>
      </c>
      <c r="L12" s="18">
        <v>70300</v>
      </c>
      <c r="M12" s="18">
        <v>0</v>
      </c>
      <c r="N12" s="18">
        <v>425000</v>
      </c>
      <c r="O12" s="18">
        <v>0</v>
      </c>
      <c r="P12" s="8">
        <v>0</v>
      </c>
      <c r="Q12" s="66">
        <v>0</v>
      </c>
      <c r="R12" s="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3685375</v>
      </c>
      <c r="AB12" s="8">
        <v>17884</v>
      </c>
      <c r="AC12" s="9">
        <v>3703259</v>
      </c>
      <c r="AE12"/>
    </row>
    <row r="13" spans="1:31" x14ac:dyDescent="0.4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0</v>
      </c>
      <c r="K13" s="18">
        <v>0</v>
      </c>
      <c r="L13" s="18">
        <v>56840</v>
      </c>
      <c r="M13" s="18">
        <v>0</v>
      </c>
      <c r="N13" s="18">
        <v>615032</v>
      </c>
      <c r="O13" s="18">
        <v>0</v>
      </c>
      <c r="P13" s="8">
        <v>0</v>
      </c>
      <c r="Q13" s="66">
        <v>0</v>
      </c>
      <c r="R13" s="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4389372</v>
      </c>
      <c r="AB13" s="8">
        <v>22200</v>
      </c>
      <c r="AC13" s="9">
        <v>4411572</v>
      </c>
      <c r="AE13"/>
    </row>
    <row r="14" spans="1:31" x14ac:dyDescent="0.4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0</v>
      </c>
      <c r="K14" s="18">
        <v>0</v>
      </c>
      <c r="L14" s="18">
        <v>49600</v>
      </c>
      <c r="M14" s="18">
        <v>0</v>
      </c>
      <c r="N14" s="18">
        <v>560000</v>
      </c>
      <c r="O14" s="18">
        <v>0</v>
      </c>
      <c r="P14" s="8">
        <v>0</v>
      </c>
      <c r="Q14" s="66">
        <v>0</v>
      </c>
      <c r="R14" s="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3507850</v>
      </c>
      <c r="AB14" s="8">
        <v>24388</v>
      </c>
      <c r="AC14" s="9">
        <v>3532238</v>
      </c>
      <c r="AE14"/>
    </row>
    <row r="15" spans="1:31" x14ac:dyDescent="0.4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0</v>
      </c>
      <c r="K15" s="18">
        <v>0</v>
      </c>
      <c r="L15" s="18">
        <v>58250</v>
      </c>
      <c r="M15" s="18">
        <v>0</v>
      </c>
      <c r="N15" s="18">
        <v>412000</v>
      </c>
      <c r="O15" s="18">
        <v>0</v>
      </c>
      <c r="P15" s="8">
        <v>0</v>
      </c>
      <c r="Q15" s="66">
        <v>0</v>
      </c>
      <c r="R15" s="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240000</v>
      </c>
      <c r="X15" s="18">
        <v>0</v>
      </c>
      <c r="Y15" s="18">
        <v>0</v>
      </c>
      <c r="Z15" s="18">
        <v>0</v>
      </c>
      <c r="AA15" s="18">
        <v>4449400</v>
      </c>
      <c r="AB15" s="8">
        <v>28407</v>
      </c>
      <c r="AC15" s="9">
        <v>4477807</v>
      </c>
      <c r="AE15"/>
    </row>
    <row r="16" spans="1:31" x14ac:dyDescent="0.4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0</v>
      </c>
      <c r="K16" s="18">
        <v>0</v>
      </c>
      <c r="L16" s="18">
        <v>54800</v>
      </c>
      <c r="M16" s="18">
        <v>0</v>
      </c>
      <c r="N16" s="18">
        <v>295400</v>
      </c>
      <c r="O16" s="18">
        <v>0</v>
      </c>
      <c r="P16" s="8">
        <v>0</v>
      </c>
      <c r="Q16" s="66">
        <v>0</v>
      </c>
      <c r="R16" s="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250000</v>
      </c>
      <c r="X16" s="18">
        <v>0</v>
      </c>
      <c r="Y16" s="18">
        <v>0</v>
      </c>
      <c r="Z16" s="18">
        <v>0</v>
      </c>
      <c r="AA16" s="18">
        <v>4213792</v>
      </c>
      <c r="AB16" s="8">
        <v>29400</v>
      </c>
      <c r="AC16" s="9">
        <v>4243192</v>
      </c>
      <c r="AE16"/>
    </row>
    <row r="17" spans="1:31" x14ac:dyDescent="0.45">
      <c r="A17" s="19">
        <v>1985</v>
      </c>
      <c r="B17" s="20">
        <v>1018800</v>
      </c>
      <c r="C17" s="20">
        <v>50000</v>
      </c>
      <c r="D17" s="20">
        <v>26200</v>
      </c>
      <c r="E17" s="20">
        <v>0</v>
      </c>
      <c r="F17" s="20">
        <v>5000</v>
      </c>
      <c r="G17" s="20">
        <v>0</v>
      </c>
      <c r="H17" s="20">
        <v>2377730</v>
      </c>
      <c r="I17" s="20">
        <v>71770</v>
      </c>
      <c r="J17" s="18">
        <v>0</v>
      </c>
      <c r="K17" s="18">
        <v>0</v>
      </c>
      <c r="L17" s="20">
        <v>51000</v>
      </c>
      <c r="M17" s="20">
        <v>0</v>
      </c>
      <c r="N17" s="20">
        <v>250000</v>
      </c>
      <c r="O17" s="20">
        <v>0</v>
      </c>
      <c r="P17" s="21">
        <v>0</v>
      </c>
      <c r="Q17" s="242">
        <v>0</v>
      </c>
      <c r="R17" s="21">
        <v>0</v>
      </c>
      <c r="S17" s="20">
        <v>0</v>
      </c>
      <c r="T17" s="20">
        <v>0</v>
      </c>
      <c r="U17" s="20">
        <v>0</v>
      </c>
      <c r="V17" s="20">
        <v>0</v>
      </c>
      <c r="W17" s="20">
        <v>250000</v>
      </c>
      <c r="X17" s="18">
        <v>0</v>
      </c>
      <c r="Y17" s="20">
        <v>0</v>
      </c>
      <c r="Z17" s="20">
        <v>0</v>
      </c>
      <c r="AA17" s="18">
        <v>4100500</v>
      </c>
      <c r="AB17" s="21">
        <v>31000</v>
      </c>
      <c r="AC17" s="22">
        <v>4131500</v>
      </c>
      <c r="AE17"/>
    </row>
    <row r="18" spans="1:31" x14ac:dyDescent="0.4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0</v>
      </c>
      <c r="K18" s="18">
        <v>0</v>
      </c>
      <c r="L18" s="18">
        <v>16652</v>
      </c>
      <c r="M18" s="18">
        <v>0</v>
      </c>
      <c r="N18" s="18">
        <v>191400</v>
      </c>
      <c r="O18" s="18">
        <v>0</v>
      </c>
      <c r="P18" s="8">
        <v>0</v>
      </c>
      <c r="Q18" s="66">
        <v>0</v>
      </c>
      <c r="R18" s="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217239</v>
      </c>
      <c r="X18" s="18">
        <v>0</v>
      </c>
      <c r="Y18" s="18">
        <v>0</v>
      </c>
      <c r="Z18" s="18">
        <v>0</v>
      </c>
      <c r="AA18" s="18">
        <v>3535541</v>
      </c>
      <c r="AB18" s="8">
        <v>28710</v>
      </c>
      <c r="AC18" s="9">
        <v>3564251</v>
      </c>
      <c r="AE18"/>
    </row>
    <row r="19" spans="1:31" x14ac:dyDescent="0.4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0</v>
      </c>
      <c r="K19" s="18">
        <v>0</v>
      </c>
      <c r="L19" s="18">
        <v>17400</v>
      </c>
      <c r="M19" s="18">
        <v>0</v>
      </c>
      <c r="N19" s="18">
        <v>200000</v>
      </c>
      <c r="O19" s="18">
        <v>0</v>
      </c>
      <c r="P19" s="8">
        <v>0</v>
      </c>
      <c r="Q19" s="66">
        <v>0</v>
      </c>
      <c r="R19" s="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201120</v>
      </c>
      <c r="X19" s="18">
        <v>0</v>
      </c>
      <c r="Y19" s="18">
        <v>0</v>
      </c>
      <c r="Z19" s="18">
        <v>0</v>
      </c>
      <c r="AA19" s="18">
        <v>3421020</v>
      </c>
      <c r="AB19" s="8">
        <v>31000</v>
      </c>
      <c r="AC19" s="9">
        <v>3452020</v>
      </c>
      <c r="AE19"/>
    </row>
    <row r="20" spans="1:31" x14ac:dyDescent="0.4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0</v>
      </c>
      <c r="K20" s="18">
        <v>0</v>
      </c>
      <c r="L20" s="18">
        <v>12217</v>
      </c>
      <c r="M20" s="18">
        <v>0</v>
      </c>
      <c r="N20" s="18">
        <v>123500</v>
      </c>
      <c r="O20" s="18">
        <v>0</v>
      </c>
      <c r="P20" s="8">
        <v>0</v>
      </c>
      <c r="Q20" s="66">
        <v>0</v>
      </c>
      <c r="R20" s="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180500</v>
      </c>
      <c r="X20" s="18">
        <v>0</v>
      </c>
      <c r="Y20" s="18">
        <v>0</v>
      </c>
      <c r="Z20" s="18">
        <v>5000</v>
      </c>
      <c r="AA20" s="18">
        <v>3183170</v>
      </c>
      <c r="AB20" s="8">
        <v>31882</v>
      </c>
      <c r="AC20" s="9">
        <v>3215052</v>
      </c>
      <c r="AE20"/>
    </row>
    <row r="21" spans="1:31" x14ac:dyDescent="0.45">
      <c r="A21" s="23">
        <v>1989</v>
      </c>
      <c r="B21" s="24">
        <v>985000</v>
      </c>
      <c r="C21" s="24">
        <v>45000</v>
      </c>
      <c r="D21" s="24">
        <v>35000</v>
      </c>
      <c r="E21" s="24">
        <v>0</v>
      </c>
      <c r="F21" s="24">
        <v>0</v>
      </c>
      <c r="G21" s="24">
        <v>0</v>
      </c>
      <c r="H21" s="24">
        <v>1603596</v>
      </c>
      <c r="I21" s="24">
        <v>71404</v>
      </c>
      <c r="J21" s="18">
        <v>0</v>
      </c>
      <c r="K21" s="18">
        <v>0</v>
      </c>
      <c r="L21" s="24">
        <v>10000</v>
      </c>
      <c r="M21" s="24">
        <v>0</v>
      </c>
      <c r="N21" s="24">
        <v>200000</v>
      </c>
      <c r="O21" s="24">
        <v>0</v>
      </c>
      <c r="P21" s="25">
        <v>0</v>
      </c>
      <c r="Q21" s="243">
        <v>0</v>
      </c>
      <c r="R21" s="25">
        <v>0</v>
      </c>
      <c r="S21" s="24">
        <v>0</v>
      </c>
      <c r="T21" s="24">
        <v>0</v>
      </c>
      <c r="U21" s="24">
        <v>0</v>
      </c>
      <c r="V21" s="24">
        <v>0</v>
      </c>
      <c r="W21" s="24">
        <v>168000</v>
      </c>
      <c r="X21" s="18">
        <v>0</v>
      </c>
      <c r="Y21" s="24">
        <v>0</v>
      </c>
      <c r="Z21" s="24">
        <v>5000</v>
      </c>
      <c r="AA21" s="18">
        <v>3123000</v>
      </c>
      <c r="AB21" s="25">
        <v>31882</v>
      </c>
      <c r="AC21" s="26">
        <v>3154882</v>
      </c>
      <c r="AE21"/>
    </row>
    <row r="22" spans="1:31" x14ac:dyDescent="0.4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0</v>
      </c>
      <c r="K22" s="18">
        <v>0</v>
      </c>
      <c r="L22" s="18">
        <v>9970</v>
      </c>
      <c r="M22" s="18">
        <v>0</v>
      </c>
      <c r="N22" s="18">
        <v>159520</v>
      </c>
      <c r="O22" s="18">
        <v>0</v>
      </c>
      <c r="P22" s="8">
        <v>0</v>
      </c>
      <c r="Q22" s="66">
        <v>0</v>
      </c>
      <c r="R22" s="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84745</v>
      </c>
      <c r="X22" s="18">
        <v>0</v>
      </c>
      <c r="Y22" s="18">
        <v>0</v>
      </c>
      <c r="Z22" s="18">
        <v>4930</v>
      </c>
      <c r="AA22" s="18">
        <v>3014990</v>
      </c>
      <c r="AB22" s="8">
        <v>31809</v>
      </c>
      <c r="AC22" s="9">
        <v>3046799</v>
      </c>
      <c r="AE22"/>
    </row>
    <row r="23" spans="1:31" x14ac:dyDescent="0.4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0</v>
      </c>
      <c r="K23" s="18">
        <v>0</v>
      </c>
      <c r="L23" s="18">
        <v>8000</v>
      </c>
      <c r="M23" s="18">
        <v>0</v>
      </c>
      <c r="N23" s="18">
        <v>148998</v>
      </c>
      <c r="O23" s="18">
        <v>0</v>
      </c>
      <c r="P23" s="8">
        <v>0</v>
      </c>
      <c r="Q23" s="66">
        <v>0</v>
      </c>
      <c r="R23" s="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64099</v>
      </c>
      <c r="X23" s="18">
        <v>0</v>
      </c>
      <c r="Y23" s="18">
        <v>0</v>
      </c>
      <c r="Z23" s="18">
        <v>5000</v>
      </c>
      <c r="AA23" s="18">
        <v>3226058</v>
      </c>
      <c r="AB23" s="8">
        <v>32583</v>
      </c>
      <c r="AC23" s="9">
        <v>3258641</v>
      </c>
      <c r="AD23" s="27"/>
      <c r="AE23"/>
    </row>
    <row r="24" spans="1:31" x14ac:dyDescent="0.4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0</v>
      </c>
      <c r="K24" s="18">
        <v>0</v>
      </c>
      <c r="L24" s="18">
        <v>60427</v>
      </c>
      <c r="M24" s="18">
        <v>0</v>
      </c>
      <c r="N24" s="18">
        <v>160000</v>
      </c>
      <c r="O24" s="18">
        <v>0</v>
      </c>
      <c r="P24" s="8">
        <v>0</v>
      </c>
      <c r="Q24" s="66">
        <v>0</v>
      </c>
      <c r="R24" s="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124000</v>
      </c>
      <c r="X24" s="18">
        <v>0</v>
      </c>
      <c r="Y24" s="18">
        <v>0</v>
      </c>
      <c r="Z24" s="18">
        <v>6985</v>
      </c>
      <c r="AA24" s="18">
        <v>3735000</v>
      </c>
      <c r="AB24" s="8">
        <v>37000</v>
      </c>
      <c r="AC24" s="9">
        <v>3772000</v>
      </c>
      <c r="AE24"/>
    </row>
    <row r="25" spans="1:31" x14ac:dyDescent="0.4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0</v>
      </c>
      <c r="K25" s="18">
        <v>0</v>
      </c>
      <c r="L25" s="18">
        <v>42500</v>
      </c>
      <c r="M25" s="18">
        <v>0</v>
      </c>
      <c r="N25" s="18">
        <v>75000</v>
      </c>
      <c r="O25" s="18">
        <v>0</v>
      </c>
      <c r="P25" s="8">
        <v>0</v>
      </c>
      <c r="Q25" s="66">
        <v>0</v>
      </c>
      <c r="R25" s="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170000</v>
      </c>
      <c r="X25" s="18">
        <v>0</v>
      </c>
      <c r="Y25" s="18">
        <v>0</v>
      </c>
      <c r="Z25" s="18">
        <v>6000</v>
      </c>
      <c r="AA25" s="18">
        <v>3761000</v>
      </c>
      <c r="AB25" s="8">
        <v>38245</v>
      </c>
      <c r="AC25" s="9">
        <v>3799245</v>
      </c>
      <c r="AD25" s="27"/>
      <c r="AE25"/>
    </row>
    <row r="26" spans="1:31" x14ac:dyDescent="0.4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0</v>
      </c>
      <c r="K26" s="18">
        <v>0</v>
      </c>
      <c r="L26" s="18">
        <v>47428</v>
      </c>
      <c r="M26" s="18">
        <v>0</v>
      </c>
      <c r="N26" s="18">
        <v>45000</v>
      </c>
      <c r="O26" s="18">
        <v>0</v>
      </c>
      <c r="P26" s="8">
        <v>0</v>
      </c>
      <c r="Q26" s="66">
        <v>0</v>
      </c>
      <c r="R26" s="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200000</v>
      </c>
      <c r="X26" s="18">
        <v>0</v>
      </c>
      <c r="Y26" s="18">
        <v>0</v>
      </c>
      <c r="Z26" s="18">
        <v>6000</v>
      </c>
      <c r="AA26" s="18">
        <v>4539808</v>
      </c>
      <c r="AB26" s="8">
        <v>39457</v>
      </c>
      <c r="AC26" s="9">
        <v>4579265</v>
      </c>
      <c r="AD26" s="27"/>
      <c r="AE26"/>
    </row>
    <row r="27" spans="1:31" x14ac:dyDescent="0.45">
      <c r="A27" s="19">
        <v>1995</v>
      </c>
      <c r="B27" s="20">
        <v>1724904</v>
      </c>
      <c r="C27" s="20">
        <v>41513</v>
      </c>
      <c r="D27" s="20">
        <v>59152</v>
      </c>
      <c r="E27" s="20">
        <v>0</v>
      </c>
      <c r="F27" s="20">
        <v>0</v>
      </c>
      <c r="G27" s="20">
        <v>0</v>
      </c>
      <c r="H27" s="20">
        <v>2299836</v>
      </c>
      <c r="I27" s="20">
        <v>137536</v>
      </c>
      <c r="J27" s="18">
        <v>0</v>
      </c>
      <c r="K27" s="18">
        <v>0</v>
      </c>
      <c r="L27" s="20">
        <v>46953</v>
      </c>
      <c r="M27" s="20">
        <v>0</v>
      </c>
      <c r="N27" s="20">
        <v>48030</v>
      </c>
      <c r="O27" s="20">
        <v>0</v>
      </c>
      <c r="P27" s="21">
        <v>0</v>
      </c>
      <c r="Q27" s="242">
        <v>0</v>
      </c>
      <c r="R27" s="21">
        <v>0</v>
      </c>
      <c r="S27" s="20">
        <v>0</v>
      </c>
      <c r="T27" s="20">
        <v>0</v>
      </c>
      <c r="U27" s="20">
        <v>0</v>
      </c>
      <c r="V27" s="20">
        <v>0</v>
      </c>
      <c r="W27" s="20">
        <v>200000</v>
      </c>
      <c r="X27" s="18">
        <v>0</v>
      </c>
      <c r="Y27" s="20">
        <v>0</v>
      </c>
      <c r="Z27" s="20">
        <v>6000</v>
      </c>
      <c r="AA27" s="18">
        <v>4563924</v>
      </c>
      <c r="AB27" s="21">
        <v>42316</v>
      </c>
      <c r="AC27" s="22">
        <v>4606240</v>
      </c>
      <c r="AE27"/>
    </row>
    <row r="28" spans="1:31" x14ac:dyDescent="0.4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0</v>
      </c>
      <c r="K28" s="18">
        <v>0</v>
      </c>
      <c r="L28" s="18">
        <v>41500</v>
      </c>
      <c r="M28" s="18">
        <v>0</v>
      </c>
      <c r="N28" s="18">
        <v>0</v>
      </c>
      <c r="O28" s="18">
        <v>0</v>
      </c>
      <c r="P28" s="8">
        <v>0</v>
      </c>
      <c r="Q28" s="66">
        <v>0</v>
      </c>
      <c r="R28" s="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200000</v>
      </c>
      <c r="X28" s="18">
        <v>0</v>
      </c>
      <c r="Y28" s="18">
        <v>0</v>
      </c>
      <c r="Z28" s="18">
        <v>6000</v>
      </c>
      <c r="AA28" s="18">
        <v>4008328</v>
      </c>
      <c r="AB28" s="8">
        <v>40722</v>
      </c>
      <c r="AC28" s="9">
        <v>4049050</v>
      </c>
      <c r="AE28"/>
    </row>
    <row r="29" spans="1:31" x14ac:dyDescent="0.4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0</v>
      </c>
      <c r="K29" s="18">
        <v>0</v>
      </c>
      <c r="L29" s="18">
        <v>41500</v>
      </c>
      <c r="M29" s="18">
        <v>0</v>
      </c>
      <c r="N29" s="18">
        <v>0</v>
      </c>
      <c r="O29" s="18">
        <v>0</v>
      </c>
      <c r="P29" s="8">
        <v>0</v>
      </c>
      <c r="Q29" s="66">
        <v>0</v>
      </c>
      <c r="R29" s="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200000</v>
      </c>
      <c r="X29" s="18">
        <v>0</v>
      </c>
      <c r="Y29" s="18">
        <v>0</v>
      </c>
      <c r="Z29" s="18">
        <v>6000</v>
      </c>
      <c r="AA29" s="18">
        <v>4340685</v>
      </c>
      <c r="AB29" s="8">
        <v>41826</v>
      </c>
      <c r="AC29" s="9">
        <v>4382511</v>
      </c>
      <c r="AE29"/>
    </row>
    <row r="30" spans="1:31" x14ac:dyDescent="0.4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0</v>
      </c>
      <c r="K30" s="18">
        <v>0</v>
      </c>
      <c r="L30" s="18">
        <v>48001</v>
      </c>
      <c r="M30" s="18">
        <v>0</v>
      </c>
      <c r="N30" s="18">
        <v>0</v>
      </c>
      <c r="O30" s="18">
        <v>0</v>
      </c>
      <c r="P30" s="8">
        <v>0</v>
      </c>
      <c r="Q30" s="66">
        <v>0</v>
      </c>
      <c r="R30" s="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200000</v>
      </c>
      <c r="X30" s="18">
        <v>0</v>
      </c>
      <c r="Y30" s="18">
        <v>0</v>
      </c>
      <c r="Z30" s="18">
        <v>6000</v>
      </c>
      <c r="AA30" s="18">
        <v>4798000</v>
      </c>
      <c r="AB30" s="8">
        <f>45738-124</f>
        <v>45614</v>
      </c>
      <c r="AC30" s="9">
        <v>4843614</v>
      </c>
      <c r="AE30"/>
    </row>
    <row r="31" spans="1:31" x14ac:dyDescent="0.45">
      <c r="A31" s="23">
        <v>1999</v>
      </c>
      <c r="B31" s="24">
        <f>2257000+50000</f>
        <v>2307000</v>
      </c>
      <c r="C31" s="24">
        <v>43842</v>
      </c>
      <c r="D31" s="24">
        <v>67036</v>
      </c>
      <c r="E31" s="24">
        <v>0</v>
      </c>
      <c r="F31" s="24">
        <v>0</v>
      </c>
      <c r="G31" s="24">
        <v>0</v>
      </c>
      <c r="H31" s="24">
        <v>2552241</v>
      </c>
      <c r="I31" s="24">
        <v>183174</v>
      </c>
      <c r="J31" s="18">
        <v>0</v>
      </c>
      <c r="K31" s="18">
        <v>0</v>
      </c>
      <c r="L31" s="24">
        <v>48908</v>
      </c>
      <c r="M31" s="24">
        <v>0</v>
      </c>
      <c r="N31" s="24">
        <v>0</v>
      </c>
      <c r="O31" s="24">
        <v>0</v>
      </c>
      <c r="P31" s="25">
        <v>0</v>
      </c>
      <c r="Q31" s="243">
        <v>0</v>
      </c>
      <c r="R31" s="25">
        <v>0</v>
      </c>
      <c r="S31" s="24">
        <v>0</v>
      </c>
      <c r="T31" s="24">
        <v>0</v>
      </c>
      <c r="U31" s="24">
        <v>2000</v>
      </c>
      <c r="V31" s="24">
        <v>75000</v>
      </c>
      <c r="W31" s="24">
        <v>50000</v>
      </c>
      <c r="X31" s="18">
        <v>0</v>
      </c>
      <c r="Y31" s="24">
        <v>0</v>
      </c>
      <c r="Z31" s="24">
        <v>6000</v>
      </c>
      <c r="AA31" s="18">
        <v>5335201</v>
      </c>
      <c r="AB31" s="25">
        <v>53338</v>
      </c>
      <c r="AC31" s="26">
        <v>5388539</v>
      </c>
      <c r="AE31"/>
    </row>
    <row r="32" spans="1:31" x14ac:dyDescent="0.4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0</v>
      </c>
      <c r="K32" s="18">
        <v>0</v>
      </c>
      <c r="L32" s="18">
        <v>54327</v>
      </c>
      <c r="M32" s="18">
        <v>0</v>
      </c>
      <c r="N32" s="18">
        <v>0</v>
      </c>
      <c r="O32" s="18">
        <v>0</v>
      </c>
      <c r="P32" s="8">
        <v>0</v>
      </c>
      <c r="Q32" s="66">
        <v>0</v>
      </c>
      <c r="R32" s="8">
        <v>0</v>
      </c>
      <c r="S32" s="18">
        <v>0</v>
      </c>
      <c r="T32" s="18">
        <v>0</v>
      </c>
      <c r="U32" s="18">
        <v>3700</v>
      </c>
      <c r="V32" s="18">
        <v>75000</v>
      </c>
      <c r="W32" s="18">
        <v>0</v>
      </c>
      <c r="X32" s="18">
        <v>0</v>
      </c>
      <c r="Y32" s="18">
        <v>0</v>
      </c>
      <c r="Z32" s="18">
        <v>6000</v>
      </c>
      <c r="AA32" s="18">
        <v>5730353</v>
      </c>
      <c r="AB32" s="8">
        <v>59562</v>
      </c>
      <c r="AC32" s="9">
        <v>5789915</v>
      </c>
      <c r="AE32"/>
    </row>
    <row r="33" spans="1:31" x14ac:dyDescent="0.4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0</v>
      </c>
      <c r="K33" s="18">
        <v>0</v>
      </c>
      <c r="L33" s="18">
        <v>52520</v>
      </c>
      <c r="M33" s="18">
        <v>0</v>
      </c>
      <c r="N33" s="18">
        <v>0</v>
      </c>
      <c r="O33" s="18">
        <v>0</v>
      </c>
      <c r="P33" s="8">
        <v>0</v>
      </c>
      <c r="Q33" s="66">
        <v>0</v>
      </c>
      <c r="R33" s="8">
        <v>0</v>
      </c>
      <c r="S33" s="18">
        <v>0</v>
      </c>
      <c r="T33" s="18">
        <v>0</v>
      </c>
      <c r="U33" s="18">
        <v>4690</v>
      </c>
      <c r="V33" s="18">
        <v>99780</v>
      </c>
      <c r="W33" s="18">
        <v>0</v>
      </c>
      <c r="X33" s="18">
        <v>0</v>
      </c>
      <c r="Y33" s="18">
        <v>0</v>
      </c>
      <c r="Z33" s="18">
        <v>5987</v>
      </c>
      <c r="AA33" s="18">
        <v>6196837</v>
      </c>
      <c r="AB33" s="8">
        <v>63859</v>
      </c>
      <c r="AC33" s="9">
        <v>6260696</v>
      </c>
      <c r="AE33"/>
    </row>
    <row r="34" spans="1:31" x14ac:dyDescent="0.4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0</v>
      </c>
      <c r="K34" s="18">
        <v>0</v>
      </c>
      <c r="L34" s="18">
        <v>55328</v>
      </c>
      <c r="M34" s="18">
        <v>0</v>
      </c>
      <c r="N34" s="18">
        <v>0</v>
      </c>
      <c r="O34" s="18">
        <v>0</v>
      </c>
      <c r="P34" s="8">
        <v>0</v>
      </c>
      <c r="Q34" s="66">
        <v>0</v>
      </c>
      <c r="R34" s="8">
        <v>0</v>
      </c>
      <c r="S34" s="18">
        <v>0</v>
      </c>
      <c r="T34" s="18">
        <v>0</v>
      </c>
      <c r="U34" s="18">
        <v>6950</v>
      </c>
      <c r="V34" s="18">
        <v>125000</v>
      </c>
      <c r="W34" s="18">
        <v>0</v>
      </c>
      <c r="X34" s="18">
        <v>0</v>
      </c>
      <c r="Y34" s="18">
        <f>123500+1800000</f>
        <v>1923500</v>
      </c>
      <c r="Z34" s="18">
        <v>6000</v>
      </c>
      <c r="AA34" s="18">
        <v>8603407</v>
      </c>
      <c r="AB34" s="8">
        <v>67000</v>
      </c>
      <c r="AC34" s="9">
        <v>8670407</v>
      </c>
      <c r="AE34"/>
    </row>
    <row r="35" spans="1:31" x14ac:dyDescent="0.4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v>0</v>
      </c>
      <c r="K35" s="18">
        <v>0</v>
      </c>
      <c r="L35" s="18">
        <f>31295+12532+3974+8196</f>
        <v>55997</v>
      </c>
      <c r="M35" s="18">
        <v>0</v>
      </c>
      <c r="N35" s="18">
        <v>0</v>
      </c>
      <c r="O35" s="18">
        <v>0</v>
      </c>
      <c r="P35" s="8">
        <v>0</v>
      </c>
      <c r="Q35" s="66">
        <v>0</v>
      </c>
      <c r="R35" s="8">
        <v>0</v>
      </c>
      <c r="S35" s="18">
        <v>0</v>
      </c>
      <c r="T35" s="18">
        <v>0</v>
      </c>
      <c r="U35" s="18">
        <v>6905</v>
      </c>
      <c r="V35" s="18">
        <v>104318</v>
      </c>
      <c r="W35" s="18">
        <v>0</v>
      </c>
      <c r="X35" s="18">
        <v>0</v>
      </c>
      <c r="Y35" s="18">
        <v>0</v>
      </c>
      <c r="Z35" s="18">
        <v>5961</v>
      </c>
      <c r="AA35" s="18">
        <v>7107521</v>
      </c>
      <c r="AB35" s="8">
        <v>72526</v>
      </c>
      <c r="AC35" s="9">
        <v>7180047</v>
      </c>
      <c r="AE35"/>
    </row>
    <row r="36" spans="1:31" x14ac:dyDescent="0.4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v>0</v>
      </c>
      <c r="K36" s="18">
        <v>0</v>
      </c>
      <c r="L36" s="18">
        <f>35290+8201+12540+3976</f>
        <v>60007</v>
      </c>
      <c r="M36" s="18">
        <v>0</v>
      </c>
      <c r="N36" s="18">
        <v>0</v>
      </c>
      <c r="O36" s="18">
        <v>0</v>
      </c>
      <c r="P36" s="8">
        <v>0</v>
      </c>
      <c r="Q36" s="66">
        <v>0</v>
      </c>
      <c r="R36" s="8">
        <v>0</v>
      </c>
      <c r="S36" s="18">
        <v>0</v>
      </c>
      <c r="T36" s="18">
        <v>0</v>
      </c>
      <c r="U36" s="18">
        <v>6909</v>
      </c>
      <c r="V36" s="18">
        <v>104381</v>
      </c>
      <c r="W36" s="18">
        <v>0</v>
      </c>
      <c r="X36" s="18">
        <v>0</v>
      </c>
      <c r="Y36" s="18">
        <v>0</v>
      </c>
      <c r="Z36" s="18">
        <v>5965</v>
      </c>
      <c r="AA36" s="18">
        <v>7190822</v>
      </c>
      <c r="AB36" s="8">
        <v>75055</v>
      </c>
      <c r="AC36" s="9">
        <v>7265877</v>
      </c>
      <c r="AE36"/>
    </row>
    <row r="37" spans="1:31" x14ac:dyDescent="0.45">
      <c r="A37" s="19">
        <v>2005</v>
      </c>
      <c r="B37" s="20">
        <v>3361714</v>
      </c>
      <c r="C37" s="20">
        <v>59903</v>
      </c>
      <c r="D37" s="20">
        <v>94527</v>
      </c>
      <c r="E37" s="20">
        <v>0</v>
      </c>
      <c r="F37" s="20">
        <v>0</v>
      </c>
      <c r="G37" s="20">
        <v>0</v>
      </c>
      <c r="H37" s="20">
        <v>3593195</v>
      </c>
      <c r="I37" s="20">
        <v>256098</v>
      </c>
      <c r="J37" s="18">
        <v>0</v>
      </c>
      <c r="K37" s="18">
        <v>0</v>
      </c>
      <c r="L37" s="20">
        <v>61865</v>
      </c>
      <c r="M37" s="20">
        <v>0</v>
      </c>
      <c r="N37" s="20">
        <v>0</v>
      </c>
      <c r="O37" s="20">
        <v>0</v>
      </c>
      <c r="P37" s="21">
        <v>0</v>
      </c>
      <c r="Q37" s="242">
        <v>0</v>
      </c>
      <c r="R37" s="21">
        <v>0</v>
      </c>
      <c r="S37" s="20">
        <v>0</v>
      </c>
      <c r="T37" s="20">
        <v>0</v>
      </c>
      <c r="U37" s="20">
        <v>6894</v>
      </c>
      <c r="V37" s="20">
        <v>124000</v>
      </c>
      <c r="W37" s="20">
        <v>0</v>
      </c>
      <c r="X37" s="18">
        <v>0</v>
      </c>
      <c r="Y37" s="20">
        <v>0</v>
      </c>
      <c r="Z37" s="20">
        <v>5952</v>
      </c>
      <c r="AA37" s="18">
        <v>7564148</v>
      </c>
      <c r="AB37" s="21">
        <v>76423</v>
      </c>
      <c r="AC37" s="22">
        <v>7640571</v>
      </c>
      <c r="AE37"/>
    </row>
    <row r="38" spans="1:31" x14ac:dyDescent="0.45">
      <c r="A38" s="13">
        <v>2006</v>
      </c>
      <c r="B38" s="28">
        <v>3656762</v>
      </c>
      <c r="C38" s="29">
        <v>77798</v>
      </c>
      <c r="D38" s="29">
        <v>110880</v>
      </c>
      <c r="E38" s="29">
        <v>0</v>
      </c>
      <c r="F38" s="29">
        <v>0</v>
      </c>
      <c r="G38" s="29">
        <v>0</v>
      </c>
      <c r="H38" s="29">
        <v>3432014</v>
      </c>
      <c r="I38" s="28">
        <v>384120</v>
      </c>
      <c r="J38" s="18">
        <v>0</v>
      </c>
      <c r="K38" s="18">
        <v>0</v>
      </c>
      <c r="L38" s="28">
        <v>67518</v>
      </c>
      <c r="M38" s="28">
        <v>16251</v>
      </c>
      <c r="N38" s="29">
        <v>0</v>
      </c>
      <c r="O38" s="29">
        <v>3465</v>
      </c>
      <c r="P38" s="30">
        <v>77720</v>
      </c>
      <c r="Q38" s="66">
        <v>24750</v>
      </c>
      <c r="R38" s="8">
        <v>21780</v>
      </c>
      <c r="S38" s="29">
        <v>384120</v>
      </c>
      <c r="T38" s="29">
        <v>17607</v>
      </c>
      <c r="U38" s="29">
        <v>7425</v>
      </c>
      <c r="V38" s="29">
        <v>136620</v>
      </c>
      <c r="W38" s="29">
        <v>0</v>
      </c>
      <c r="X38" s="18">
        <v>0</v>
      </c>
      <c r="Y38" s="29">
        <v>0</v>
      </c>
      <c r="Z38" s="29">
        <v>6930</v>
      </c>
      <c r="AA38" s="18">
        <v>8425760</v>
      </c>
      <c r="AB38" s="8">
        <v>79200</v>
      </c>
      <c r="AC38" s="9">
        <v>8504960</v>
      </c>
      <c r="AE38"/>
    </row>
    <row r="39" spans="1:31" x14ac:dyDescent="0.45">
      <c r="A39" s="13">
        <v>2007</v>
      </c>
      <c r="B39" s="29">
        <v>3895779</v>
      </c>
      <c r="C39" s="29">
        <v>81892</v>
      </c>
      <c r="D39" s="29">
        <v>117000</v>
      </c>
      <c r="E39" s="29">
        <v>0</v>
      </c>
      <c r="F39" s="29">
        <v>0</v>
      </c>
      <c r="G39" s="29">
        <v>0</v>
      </c>
      <c r="H39" s="29">
        <v>3606175</v>
      </c>
      <c r="I39" s="29">
        <v>404000</v>
      </c>
      <c r="J39" s="18">
        <v>0</v>
      </c>
      <c r="K39" s="18">
        <v>0</v>
      </c>
      <c r="L39" s="29">
        <v>54000</v>
      </c>
      <c r="M39" s="29">
        <v>17107</v>
      </c>
      <c r="N39" s="29">
        <v>0</v>
      </c>
      <c r="O39" s="29">
        <v>3500</v>
      </c>
      <c r="P39" s="30">
        <v>81000</v>
      </c>
      <c r="Q39" s="244">
        <v>25000</v>
      </c>
      <c r="R39" s="30">
        <v>23000</v>
      </c>
      <c r="S39" s="29">
        <v>404000</v>
      </c>
      <c r="T39" s="29">
        <v>18721</v>
      </c>
      <c r="U39" s="29">
        <v>7600</v>
      </c>
      <c r="V39" s="29">
        <v>144000</v>
      </c>
      <c r="W39" s="29">
        <v>0</v>
      </c>
      <c r="X39" s="18">
        <v>0</v>
      </c>
      <c r="Y39" s="29">
        <v>0</v>
      </c>
      <c r="Z39" s="29">
        <v>7000</v>
      </c>
      <c r="AA39" s="18">
        <v>8889774</v>
      </c>
      <c r="AB39" s="30">
        <v>85000</v>
      </c>
      <c r="AC39" s="9">
        <v>8974774</v>
      </c>
      <c r="AE39"/>
    </row>
    <row r="40" spans="1:31" x14ac:dyDescent="0.45">
      <c r="A40" s="13">
        <v>2008</v>
      </c>
      <c r="B40" s="29">
        <v>3962145</v>
      </c>
      <c r="C40" s="29">
        <v>88510</v>
      </c>
      <c r="D40" s="29">
        <v>127000</v>
      </c>
      <c r="E40" s="29">
        <v>0</v>
      </c>
      <c r="F40" s="29">
        <v>0</v>
      </c>
      <c r="G40" s="29">
        <v>0</v>
      </c>
      <c r="H40" s="29">
        <v>3910843</v>
      </c>
      <c r="I40" s="29">
        <v>438000</v>
      </c>
      <c r="J40" s="18">
        <v>0</v>
      </c>
      <c r="K40" s="18">
        <v>0</v>
      </c>
      <c r="L40" s="29">
        <v>58363</v>
      </c>
      <c r="M40" s="29">
        <v>18489</v>
      </c>
      <c r="N40" s="29">
        <v>0</v>
      </c>
      <c r="O40" s="29">
        <v>3500</v>
      </c>
      <c r="P40" s="30">
        <v>87500</v>
      </c>
      <c r="Q40" s="244">
        <v>24691</v>
      </c>
      <c r="R40" s="30">
        <v>25000</v>
      </c>
      <c r="S40" s="29">
        <v>438000</v>
      </c>
      <c r="T40" s="29">
        <v>49000</v>
      </c>
      <c r="U40" s="29">
        <v>8300</v>
      </c>
      <c r="V40" s="29">
        <v>156000</v>
      </c>
      <c r="W40" s="29">
        <v>0</v>
      </c>
      <c r="X40" s="18">
        <v>0</v>
      </c>
      <c r="Y40" s="29">
        <v>0</v>
      </c>
      <c r="Z40" s="29">
        <v>7000</v>
      </c>
      <c r="AA40" s="18">
        <v>9402341</v>
      </c>
      <c r="AB40" s="30">
        <v>89300</v>
      </c>
      <c r="AC40" s="9">
        <v>9491641</v>
      </c>
      <c r="AE40"/>
    </row>
    <row r="41" spans="1:31" x14ac:dyDescent="0.45">
      <c r="A41" s="13">
        <v>2009</v>
      </c>
      <c r="B41" s="29">
        <v>4359750</v>
      </c>
      <c r="C41" s="29">
        <v>93887</v>
      </c>
      <c r="D41" s="29">
        <v>133500</v>
      </c>
      <c r="E41" s="29">
        <v>0</v>
      </c>
      <c r="F41" s="29">
        <v>0</v>
      </c>
      <c r="G41" s="29">
        <v>0</v>
      </c>
      <c r="H41" s="29">
        <v>4160365</v>
      </c>
      <c r="I41" s="29">
        <v>465000</v>
      </c>
      <c r="J41" s="18">
        <v>0</v>
      </c>
      <c r="K41" s="18">
        <v>0</v>
      </c>
      <c r="L41" s="29">
        <v>60000</v>
      </c>
      <c r="M41" s="29">
        <v>19613</v>
      </c>
      <c r="N41" s="29">
        <v>0</v>
      </c>
      <c r="O41" s="29">
        <v>3500</v>
      </c>
      <c r="P41" s="30">
        <v>92500</v>
      </c>
      <c r="Q41" s="244">
        <v>25000</v>
      </c>
      <c r="R41" s="30">
        <v>26900</v>
      </c>
      <c r="S41" s="29">
        <v>465000</v>
      </c>
      <c r="T41" s="29">
        <v>51500</v>
      </c>
      <c r="U41" s="29">
        <v>8800</v>
      </c>
      <c r="V41" s="29">
        <v>164500</v>
      </c>
      <c r="W41" s="29">
        <v>0</v>
      </c>
      <c r="X41" s="18">
        <v>0</v>
      </c>
      <c r="Y41" s="29">
        <v>0</v>
      </c>
      <c r="Z41" s="29">
        <v>7000</v>
      </c>
      <c r="AA41" s="18">
        <v>10136815</v>
      </c>
      <c r="AB41" s="30">
        <v>94413</v>
      </c>
      <c r="AC41" s="9">
        <v>10231228</v>
      </c>
      <c r="AE41"/>
    </row>
    <row r="42" spans="1:31" x14ac:dyDescent="0.45">
      <c r="A42" s="13">
        <v>2010</v>
      </c>
      <c r="B42" s="29">
        <v>4642985.6840000004</v>
      </c>
      <c r="C42" s="29">
        <v>93691.869000000006</v>
      </c>
      <c r="D42" s="29">
        <v>133222.25599999999</v>
      </c>
      <c r="E42" s="29">
        <v>0</v>
      </c>
      <c r="F42" s="29">
        <v>0</v>
      </c>
      <c r="G42" s="29">
        <v>0</v>
      </c>
      <c r="H42" s="29">
        <v>4151709.4390000002</v>
      </c>
      <c r="I42" s="29">
        <v>464032.576</v>
      </c>
      <c r="J42" s="18">
        <v>0</v>
      </c>
      <c r="K42" s="18">
        <v>0</v>
      </c>
      <c r="L42" s="29">
        <v>58670</v>
      </c>
      <c r="M42" s="29">
        <v>19571.995999999999</v>
      </c>
      <c r="N42" s="29">
        <v>0</v>
      </c>
      <c r="O42" s="29">
        <v>3492.7179999999998</v>
      </c>
      <c r="P42" s="30">
        <v>92307.554999999993</v>
      </c>
      <c r="Q42" s="244">
        <v>24947.988000000001</v>
      </c>
      <c r="R42" s="30">
        <v>26844.035</v>
      </c>
      <c r="S42" s="29">
        <v>464032.576</v>
      </c>
      <c r="T42" s="29">
        <v>51392.855000000003</v>
      </c>
      <c r="U42" s="29">
        <v>8781.6919999999991</v>
      </c>
      <c r="V42" s="29">
        <v>164157.761</v>
      </c>
      <c r="W42" s="29">
        <v>150000</v>
      </c>
      <c r="X42" s="29">
        <v>75000</v>
      </c>
      <c r="Y42" s="29">
        <v>0</v>
      </c>
      <c r="Z42" s="29">
        <v>7000</v>
      </c>
      <c r="AA42" s="18">
        <v>10631840.999999998</v>
      </c>
      <c r="AB42" s="30">
        <v>98911</v>
      </c>
      <c r="AC42" s="9">
        <v>10730751.999999998</v>
      </c>
      <c r="AE42"/>
    </row>
    <row r="43" spans="1:31" x14ac:dyDescent="0.45">
      <c r="A43" s="13">
        <v>2011</v>
      </c>
      <c r="B43" s="29">
        <v>4241785.6840000004</v>
      </c>
      <c r="C43" s="29">
        <v>93691.869000000006</v>
      </c>
      <c r="D43" s="29">
        <v>133222.25599999999</v>
      </c>
      <c r="E43" s="29">
        <v>0</v>
      </c>
      <c r="F43" s="29">
        <v>0</v>
      </c>
      <c r="G43" s="29">
        <v>0</v>
      </c>
      <c r="H43" s="29">
        <v>4151709.4390000002</v>
      </c>
      <c r="I43" s="29">
        <v>464032.576</v>
      </c>
      <c r="J43" s="18">
        <v>0</v>
      </c>
      <c r="K43" s="18">
        <v>0</v>
      </c>
      <c r="L43" s="29">
        <v>52605.557179838579</v>
      </c>
      <c r="M43" s="29">
        <v>19571.995999999999</v>
      </c>
      <c r="N43" s="29">
        <v>0</v>
      </c>
      <c r="O43" s="29">
        <v>3492.7179999999998</v>
      </c>
      <c r="P43" s="30">
        <v>92307.554999999993</v>
      </c>
      <c r="Q43" s="244">
        <v>24947.988000000001</v>
      </c>
      <c r="R43" s="30">
        <v>26844.035</v>
      </c>
      <c r="S43" s="29">
        <v>464032.576</v>
      </c>
      <c r="T43" s="29">
        <v>51392.855000000003</v>
      </c>
      <c r="U43" s="29">
        <v>8781.6919999999991</v>
      </c>
      <c r="V43" s="29">
        <v>164157.761</v>
      </c>
      <c r="W43" s="29">
        <v>149700</v>
      </c>
      <c r="X43" s="29">
        <v>49900</v>
      </c>
      <c r="Y43" s="29">
        <v>0</v>
      </c>
      <c r="Z43" s="29">
        <v>6276.4428201614128</v>
      </c>
      <c r="AA43" s="18">
        <v>10198452.999999998</v>
      </c>
      <c r="AB43" s="30">
        <v>98713.178</v>
      </c>
      <c r="AC43" s="9">
        <v>10297166.177999998</v>
      </c>
      <c r="AE43"/>
    </row>
    <row r="44" spans="1:31" x14ac:dyDescent="0.45">
      <c r="A44" s="13">
        <v>2012</v>
      </c>
      <c r="B44" s="29">
        <v>4547000</v>
      </c>
      <c r="C44" s="29">
        <v>93887</v>
      </c>
      <c r="D44" s="29">
        <v>133500</v>
      </c>
      <c r="E44" s="29">
        <v>0</v>
      </c>
      <c r="F44" s="29">
        <v>0</v>
      </c>
      <c r="G44" s="29">
        <v>0</v>
      </c>
      <c r="H44" s="29">
        <v>4160365</v>
      </c>
      <c r="I44" s="29">
        <v>465000</v>
      </c>
      <c r="J44" s="18">
        <v>0</v>
      </c>
      <c r="K44" s="18">
        <v>0</v>
      </c>
      <c r="L44" s="29">
        <v>40000</v>
      </c>
      <c r="M44" s="29">
        <v>19613</v>
      </c>
      <c r="N44" s="29">
        <v>0</v>
      </c>
      <c r="O44" s="29">
        <v>3500</v>
      </c>
      <c r="P44" s="30">
        <v>92500</v>
      </c>
      <c r="Q44" s="244">
        <v>25000</v>
      </c>
      <c r="R44" s="30">
        <v>26900</v>
      </c>
      <c r="S44" s="29">
        <v>465000</v>
      </c>
      <c r="T44" s="29">
        <v>51500</v>
      </c>
      <c r="U44" s="29">
        <v>8800</v>
      </c>
      <c r="V44" s="29">
        <v>164500</v>
      </c>
      <c r="W44" s="29">
        <v>150000</v>
      </c>
      <c r="X44" s="29">
        <v>0</v>
      </c>
      <c r="Y44" s="29">
        <v>0</v>
      </c>
      <c r="Z44" s="29">
        <v>4000</v>
      </c>
      <c r="AA44" s="18">
        <v>10451065</v>
      </c>
      <c r="AB44" s="30">
        <v>98713</v>
      </c>
      <c r="AC44" s="9">
        <v>10549778</v>
      </c>
      <c r="AE44"/>
    </row>
    <row r="45" spans="1:31" x14ac:dyDescent="0.45">
      <c r="A45" s="13">
        <v>2013</v>
      </c>
      <c r="B45" s="29">
        <v>4465300</v>
      </c>
      <c r="C45" s="29">
        <v>104971</v>
      </c>
      <c r="D45" s="29">
        <v>254800</v>
      </c>
      <c r="E45" s="29">
        <v>10000</v>
      </c>
      <c r="F45" s="29">
        <v>0</v>
      </c>
      <c r="G45" s="29">
        <v>0</v>
      </c>
      <c r="H45" s="29">
        <v>4397950</v>
      </c>
      <c r="I45" s="29">
        <v>599500</v>
      </c>
      <c r="J45" s="18">
        <v>0</v>
      </c>
      <c r="K45" s="18">
        <v>0</v>
      </c>
      <c r="L45" s="29">
        <v>41698</v>
      </c>
      <c r="M45" s="29">
        <v>21928</v>
      </c>
      <c r="N45" s="29">
        <v>0</v>
      </c>
      <c r="O45" s="29">
        <v>3850</v>
      </c>
      <c r="P45" s="30">
        <v>0</v>
      </c>
      <c r="Q45" s="244">
        <v>0</v>
      </c>
      <c r="R45" s="30">
        <v>0</v>
      </c>
      <c r="S45" s="29">
        <v>525900</v>
      </c>
      <c r="T45" s="29">
        <v>0</v>
      </c>
      <c r="U45" s="29">
        <v>0</v>
      </c>
      <c r="V45" s="29">
        <v>0</v>
      </c>
      <c r="W45" s="29">
        <v>142154</v>
      </c>
      <c r="X45" s="29">
        <v>0</v>
      </c>
      <c r="Y45" s="29">
        <v>0</v>
      </c>
      <c r="Z45" s="29">
        <v>0</v>
      </c>
      <c r="AA45" s="18">
        <v>10568051</v>
      </c>
      <c r="AB45" s="30">
        <v>102713</v>
      </c>
      <c r="AC45" s="9">
        <v>10670764</v>
      </c>
      <c r="AE45"/>
    </row>
    <row r="46" spans="1:31" x14ac:dyDescent="0.45">
      <c r="A46" s="13">
        <v>2014</v>
      </c>
      <c r="B46" s="29">
        <v>4598800</v>
      </c>
      <c r="C46" s="29">
        <v>106543</v>
      </c>
      <c r="D46" s="29">
        <v>258300</v>
      </c>
      <c r="E46" s="29">
        <v>10000</v>
      </c>
      <c r="F46" s="29">
        <v>0</v>
      </c>
      <c r="G46" s="29">
        <v>0</v>
      </c>
      <c r="H46" s="29">
        <v>4458650</v>
      </c>
      <c r="I46" s="29">
        <v>598956</v>
      </c>
      <c r="J46" s="29">
        <v>0</v>
      </c>
      <c r="K46" s="29">
        <v>0</v>
      </c>
      <c r="L46" s="29">
        <v>41698</v>
      </c>
      <c r="M46" s="29">
        <v>22911</v>
      </c>
      <c r="N46" s="29">
        <v>0</v>
      </c>
      <c r="O46" s="29">
        <v>3850</v>
      </c>
      <c r="P46" s="30">
        <v>0</v>
      </c>
      <c r="Q46" s="244">
        <v>0</v>
      </c>
      <c r="R46" s="30">
        <v>0</v>
      </c>
      <c r="S46" s="29">
        <v>525900</v>
      </c>
      <c r="T46" s="29">
        <v>0</v>
      </c>
      <c r="U46" s="29">
        <v>0</v>
      </c>
      <c r="V46" s="29">
        <v>0</v>
      </c>
      <c r="W46" s="29">
        <v>148500</v>
      </c>
      <c r="X46" s="29">
        <v>0</v>
      </c>
      <c r="Y46" s="29">
        <v>0</v>
      </c>
      <c r="Z46" s="29">
        <v>0</v>
      </c>
      <c r="AA46" s="18">
        <v>10774108</v>
      </c>
      <c r="AB46" s="30">
        <v>104000</v>
      </c>
      <c r="AC46" s="9">
        <v>10878108</v>
      </c>
      <c r="AE46"/>
    </row>
    <row r="47" spans="1:31" x14ac:dyDescent="0.45">
      <c r="A47" s="13">
        <v>2015</v>
      </c>
      <c r="B47" s="29">
        <v>4676719</v>
      </c>
      <c r="C47" s="234">
        <v>106011</v>
      </c>
      <c r="D47" s="29">
        <v>257009</v>
      </c>
      <c r="E47" s="29">
        <v>10000</v>
      </c>
      <c r="F47" s="29">
        <v>0</v>
      </c>
      <c r="G47" s="29">
        <v>0</v>
      </c>
      <c r="H47" s="29">
        <v>4372917</v>
      </c>
      <c r="I47" s="29">
        <v>552938</v>
      </c>
      <c r="J47" s="29">
        <v>0</v>
      </c>
      <c r="K47" s="29">
        <v>0</v>
      </c>
      <c r="L47" s="29">
        <v>33000</v>
      </c>
      <c r="M47" s="29">
        <v>22145</v>
      </c>
      <c r="N47" s="29">
        <v>0</v>
      </c>
      <c r="O47" s="29">
        <v>3850</v>
      </c>
      <c r="P47" s="30">
        <v>0</v>
      </c>
      <c r="Q47" s="244">
        <v>0</v>
      </c>
      <c r="R47" s="30">
        <v>0</v>
      </c>
      <c r="S47" s="29">
        <v>525900</v>
      </c>
      <c r="T47" s="29">
        <v>0</v>
      </c>
      <c r="U47" s="29">
        <v>0</v>
      </c>
      <c r="V47" s="29">
        <v>0</v>
      </c>
      <c r="W47" s="29">
        <v>148500</v>
      </c>
      <c r="X47" s="29">
        <v>0</v>
      </c>
      <c r="Y47" s="29">
        <v>0</v>
      </c>
      <c r="Z47" s="29">
        <v>0</v>
      </c>
      <c r="AA47" s="18">
        <v>10708989</v>
      </c>
      <c r="AB47" s="30">
        <v>105933</v>
      </c>
      <c r="AC47" s="9">
        <v>10814922</v>
      </c>
      <c r="AE47"/>
    </row>
    <row r="48" spans="1:31" x14ac:dyDescent="0.45">
      <c r="A48" s="13">
        <v>2016</v>
      </c>
      <c r="B48" s="29">
        <v>5064960</v>
      </c>
      <c r="C48" s="234">
        <v>107601</v>
      </c>
      <c r="D48" s="29">
        <v>261635</v>
      </c>
      <c r="E48" s="29">
        <v>10000</v>
      </c>
      <c r="F48" s="29">
        <v>0</v>
      </c>
      <c r="G48" s="29">
        <v>0</v>
      </c>
      <c r="H48" s="29">
        <v>4452169</v>
      </c>
      <c r="I48" s="29">
        <v>556897</v>
      </c>
      <c r="J48" s="29">
        <v>9000</v>
      </c>
      <c r="K48" s="29">
        <v>0</v>
      </c>
      <c r="L48" s="29">
        <v>33000</v>
      </c>
      <c r="M48" s="29">
        <v>22478</v>
      </c>
      <c r="N48" s="29">
        <v>0</v>
      </c>
      <c r="O48" s="29">
        <v>3850</v>
      </c>
      <c r="P48" s="30">
        <v>0</v>
      </c>
      <c r="Q48" s="244">
        <v>0</v>
      </c>
      <c r="R48" s="30">
        <v>0</v>
      </c>
      <c r="S48" s="29">
        <v>536262</v>
      </c>
      <c r="T48" s="29">
        <v>0</v>
      </c>
      <c r="U48" s="29">
        <v>0</v>
      </c>
      <c r="V48" s="29">
        <v>0</v>
      </c>
      <c r="W48" s="29">
        <v>148500</v>
      </c>
      <c r="X48" s="29">
        <v>0</v>
      </c>
      <c r="Y48" s="29">
        <v>0</v>
      </c>
      <c r="Z48" s="29">
        <v>0</v>
      </c>
      <c r="AA48" s="18">
        <v>11197352</v>
      </c>
      <c r="AB48" s="30">
        <v>108000</v>
      </c>
      <c r="AC48" s="9">
        <f>AA48+AB48</f>
        <v>11305352</v>
      </c>
      <c r="AE48"/>
    </row>
    <row r="49" spans="1:31" x14ac:dyDescent="0.45">
      <c r="A49" s="13">
        <v>2017</v>
      </c>
      <c r="B49" s="18">
        <v>5462726</v>
      </c>
      <c r="C49" s="18">
        <v>109795</v>
      </c>
      <c r="D49" s="18">
        <v>266867</v>
      </c>
      <c r="E49" s="18">
        <v>10000</v>
      </c>
      <c r="F49" s="18">
        <v>0</v>
      </c>
      <c r="G49" s="18">
        <v>0</v>
      </c>
      <c r="H49" s="18">
        <v>4541813</v>
      </c>
      <c r="I49" s="18">
        <v>592296</v>
      </c>
      <c r="J49" s="29">
        <v>9000</v>
      </c>
      <c r="K49" s="29">
        <v>0</v>
      </c>
      <c r="L49" s="18">
        <v>33000</v>
      </c>
      <c r="M49" s="18">
        <v>22936</v>
      </c>
      <c r="N49" s="18">
        <v>0</v>
      </c>
      <c r="O49" s="18">
        <v>3850</v>
      </c>
      <c r="P49" s="8">
        <v>0</v>
      </c>
      <c r="Q49" s="66">
        <v>0</v>
      </c>
      <c r="R49" s="8">
        <v>0</v>
      </c>
      <c r="S49" s="18">
        <v>544434</v>
      </c>
      <c r="T49" s="18">
        <v>0</v>
      </c>
      <c r="U49" s="18">
        <v>0</v>
      </c>
      <c r="V49" s="18">
        <v>0</v>
      </c>
      <c r="W49" s="18">
        <v>148500</v>
      </c>
      <c r="X49" s="18">
        <v>0</v>
      </c>
      <c r="Y49" s="18">
        <v>0</v>
      </c>
      <c r="Z49" s="18">
        <v>0</v>
      </c>
      <c r="AA49" s="18">
        <v>11736218</v>
      </c>
      <c r="AB49" s="30">
        <v>109000</v>
      </c>
      <c r="AC49" s="9">
        <f t="shared" ref="AC49" si="0">AA49+AB49</f>
        <v>11845218</v>
      </c>
      <c r="AE49"/>
    </row>
    <row r="50" spans="1:31" x14ac:dyDescent="0.45">
      <c r="A50" s="13">
        <v>2018</v>
      </c>
      <c r="B50" s="18">
        <v>6236990</v>
      </c>
      <c r="C50" s="18">
        <v>112101</v>
      </c>
      <c r="D50" s="18">
        <v>272472</v>
      </c>
      <c r="E50" s="18">
        <v>10000</v>
      </c>
      <c r="F50" s="18">
        <v>0</v>
      </c>
      <c r="G50" s="18">
        <v>0</v>
      </c>
      <c r="H50" s="18">
        <v>4637821</v>
      </c>
      <c r="I50" s="18">
        <v>608697</v>
      </c>
      <c r="J50" s="29">
        <v>14000</v>
      </c>
      <c r="K50" s="29">
        <v>0</v>
      </c>
      <c r="L50" s="18">
        <v>33250</v>
      </c>
      <c r="M50" s="18">
        <v>23535</v>
      </c>
      <c r="N50" s="18">
        <v>0</v>
      </c>
      <c r="O50" s="18">
        <v>3850</v>
      </c>
      <c r="P50" s="8">
        <v>0</v>
      </c>
      <c r="Q50" s="66">
        <v>0</v>
      </c>
      <c r="R50" s="8">
        <v>0</v>
      </c>
      <c r="S50" s="18">
        <v>582784</v>
      </c>
      <c r="T50" s="18">
        <v>0</v>
      </c>
      <c r="U50" s="18">
        <v>0</v>
      </c>
      <c r="V50" s="18">
        <v>0</v>
      </c>
      <c r="W50" s="18">
        <v>148500</v>
      </c>
      <c r="X50" s="18">
        <v>0</v>
      </c>
      <c r="Y50" s="18">
        <v>0</v>
      </c>
      <c r="Z50" s="18">
        <v>0</v>
      </c>
      <c r="AA50" s="18">
        <f>SUM(B50:Z50)</f>
        <v>12684000</v>
      </c>
      <c r="AB50" s="30">
        <v>111000</v>
      </c>
      <c r="AC50" s="9">
        <f>AA50+AB50</f>
        <v>12795000</v>
      </c>
      <c r="AE50"/>
    </row>
    <row r="51" spans="1:31" x14ac:dyDescent="0.45">
      <c r="A51" s="13">
        <v>2019</v>
      </c>
      <c r="B51" s="18">
        <v>6009875</v>
      </c>
      <c r="C51" s="18">
        <v>114478</v>
      </c>
      <c r="D51" s="18">
        <v>278247</v>
      </c>
      <c r="E51" s="18">
        <v>10000</v>
      </c>
      <c r="F51" s="18">
        <v>0</v>
      </c>
      <c r="G51" s="18">
        <v>0</v>
      </c>
      <c r="H51" s="18">
        <v>4744753</v>
      </c>
      <c r="I51" s="18">
        <v>632863</v>
      </c>
      <c r="J51" s="29">
        <v>14000</v>
      </c>
      <c r="K51" s="29">
        <v>0</v>
      </c>
      <c r="L51" s="18">
        <v>37500</v>
      </c>
      <c r="M51" s="18">
        <v>23914</v>
      </c>
      <c r="N51" s="18">
        <v>0</v>
      </c>
      <c r="O51" s="18">
        <v>3850</v>
      </c>
      <c r="P51" s="8">
        <v>0</v>
      </c>
      <c r="Q51" s="66">
        <v>0</v>
      </c>
      <c r="R51" s="8">
        <v>0</v>
      </c>
      <c r="S51" s="18">
        <v>601315</v>
      </c>
      <c r="T51" s="18">
        <v>0</v>
      </c>
      <c r="U51" s="18">
        <v>0</v>
      </c>
      <c r="V51" s="18">
        <v>0</v>
      </c>
      <c r="W51" s="18">
        <v>148500</v>
      </c>
      <c r="X51" s="18">
        <v>0</v>
      </c>
      <c r="Y51" s="18">
        <v>0</v>
      </c>
      <c r="Z51" s="18">
        <v>0</v>
      </c>
      <c r="AA51" s="18">
        <f>SUM(B51:Z51)</f>
        <v>12619295</v>
      </c>
      <c r="AB51" s="8">
        <v>113165</v>
      </c>
      <c r="AC51" s="9">
        <f>AA51+AB51</f>
        <v>12732460</v>
      </c>
      <c r="AE51"/>
    </row>
    <row r="52" spans="1:31" x14ac:dyDescent="0.45">
      <c r="A52" s="13">
        <v>2020</v>
      </c>
      <c r="B52" s="18">
        <v>5243045</v>
      </c>
      <c r="C52" s="18">
        <v>123182</v>
      </c>
      <c r="D52" s="18">
        <v>288155</v>
      </c>
      <c r="E52" s="18">
        <v>10000</v>
      </c>
      <c r="F52" s="18">
        <v>0</v>
      </c>
      <c r="G52" s="18">
        <v>0</v>
      </c>
      <c r="H52" s="18">
        <v>4847152</v>
      </c>
      <c r="I52" s="18">
        <v>641549</v>
      </c>
      <c r="J52" s="29">
        <v>14000</v>
      </c>
      <c r="K52" s="29">
        <v>8500</v>
      </c>
      <c r="L52" s="18">
        <v>40000</v>
      </c>
      <c r="M52" s="18">
        <v>24421</v>
      </c>
      <c r="N52" s="18">
        <v>0</v>
      </c>
      <c r="O52" s="18">
        <v>3850</v>
      </c>
      <c r="P52" s="8">
        <v>0</v>
      </c>
      <c r="Q52" s="66">
        <v>0</v>
      </c>
      <c r="R52" s="8">
        <v>0</v>
      </c>
      <c r="S52" s="18">
        <v>610033</v>
      </c>
      <c r="T52" s="18">
        <v>0</v>
      </c>
      <c r="U52" s="18">
        <v>0</v>
      </c>
      <c r="V52" s="18">
        <v>0</v>
      </c>
      <c r="W52" s="18">
        <v>148500</v>
      </c>
      <c r="X52" s="18">
        <v>0</v>
      </c>
      <c r="Y52" s="18">
        <v>0</v>
      </c>
      <c r="Z52" s="18">
        <v>0</v>
      </c>
      <c r="AA52" s="18">
        <f>SUM(B52:Z52)</f>
        <v>12002387</v>
      </c>
      <c r="AB52" s="8">
        <v>120185</v>
      </c>
      <c r="AC52" s="9">
        <f>AA52+AB52</f>
        <v>12122572</v>
      </c>
      <c r="AE52"/>
    </row>
    <row r="53" spans="1:31" ht="14.65" thickBot="1" x14ac:dyDescent="0.5">
      <c r="A53" s="13">
        <v>2021</v>
      </c>
      <c r="B53" s="29">
        <v>5914452</v>
      </c>
      <c r="C53" s="18">
        <v>117493</v>
      </c>
      <c r="D53" s="18">
        <v>285575</v>
      </c>
      <c r="E53" s="18">
        <v>10000</v>
      </c>
      <c r="F53" s="18">
        <v>0</v>
      </c>
      <c r="G53" s="18">
        <v>0</v>
      </c>
      <c r="H53" s="18">
        <v>4937452</v>
      </c>
      <c r="I53" s="18">
        <v>713300</v>
      </c>
      <c r="J53" s="29">
        <v>16500</v>
      </c>
      <c r="K53" s="29">
        <v>16220</v>
      </c>
      <c r="L53" s="18">
        <v>33500</v>
      </c>
      <c r="M53" s="18">
        <v>24544</v>
      </c>
      <c r="N53" s="18">
        <v>0</v>
      </c>
      <c r="O53" s="18">
        <v>4000</v>
      </c>
      <c r="P53" s="8">
        <v>0</v>
      </c>
      <c r="Q53" s="66">
        <v>0</v>
      </c>
      <c r="R53" s="8">
        <v>0</v>
      </c>
      <c r="S53" s="18">
        <v>610033</v>
      </c>
      <c r="T53" s="18">
        <v>0</v>
      </c>
      <c r="U53" s="18">
        <v>0</v>
      </c>
      <c r="V53" s="18">
        <v>0</v>
      </c>
      <c r="W53" s="18">
        <v>150000</v>
      </c>
      <c r="X53" s="18">
        <v>0</v>
      </c>
      <c r="Y53" s="18">
        <v>0</v>
      </c>
      <c r="Z53" s="18">
        <v>0</v>
      </c>
      <c r="AA53" s="18">
        <f>SUM(B53:Z53)</f>
        <v>12833069</v>
      </c>
      <c r="AB53" s="8">
        <v>100238</v>
      </c>
      <c r="AC53" s="9">
        <f>AA53+AB53</f>
        <v>12933307</v>
      </c>
      <c r="AE53"/>
    </row>
    <row r="54" spans="1:31" ht="14.65" thickTop="1" x14ac:dyDescent="0.45">
      <c r="A54" s="6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3"/>
      <c r="Q54" s="32"/>
      <c r="R54" s="33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4"/>
      <c r="AE54"/>
    </row>
    <row r="55" spans="1:31" x14ac:dyDescent="0.45">
      <c r="A55" s="13" t="s">
        <v>72</v>
      </c>
      <c r="B55" s="35">
        <f>SUM(B12:B53)</f>
        <v>123991570.368</v>
      </c>
      <c r="C55" s="35">
        <f t="shared" ref="C55:AC55" si="1">SUM(C12:C53)</f>
        <v>2867035.7379999999</v>
      </c>
      <c r="D55" s="35">
        <f t="shared" si="1"/>
        <v>4630498.5120000001</v>
      </c>
      <c r="E55" s="35">
        <f t="shared" si="1"/>
        <v>90000</v>
      </c>
      <c r="F55" s="35">
        <f t="shared" si="1"/>
        <v>69285</v>
      </c>
      <c r="G55" s="35">
        <f t="shared" si="1"/>
        <v>5425250</v>
      </c>
      <c r="H55" s="35">
        <f t="shared" si="1"/>
        <v>121122674.87799999</v>
      </c>
      <c r="I55" s="35">
        <f t="shared" si="1"/>
        <v>11865138.152000001</v>
      </c>
      <c r="J55" s="35">
        <f t="shared" si="1"/>
        <v>76500</v>
      </c>
      <c r="K55" s="35">
        <f t="shared" si="1"/>
        <v>24720</v>
      </c>
      <c r="L55" s="35">
        <f t="shared" si="1"/>
        <v>1850092.5571798387</v>
      </c>
      <c r="M55" s="35">
        <f t="shared" si="1"/>
        <v>339028.99199999997</v>
      </c>
      <c r="N55" s="35">
        <f t="shared" si="1"/>
        <v>3908880</v>
      </c>
      <c r="O55" s="35">
        <f t="shared" si="1"/>
        <v>59250.436000000002</v>
      </c>
      <c r="P55" s="235">
        <f t="shared" si="1"/>
        <v>615835.11</v>
      </c>
      <c r="Q55" s="245">
        <f t="shared" si="1"/>
        <v>174336.976</v>
      </c>
      <c r="R55" s="235">
        <f t="shared" si="1"/>
        <v>177268.07</v>
      </c>
      <c r="S55" s="35">
        <f t="shared" si="1"/>
        <v>8146746.1519999998</v>
      </c>
      <c r="T55" s="35">
        <f t="shared" si="1"/>
        <v>291113.71000000002</v>
      </c>
      <c r="U55" s="35">
        <f t="shared" si="1"/>
        <v>96536.383999999991</v>
      </c>
      <c r="V55" s="35">
        <f t="shared" si="1"/>
        <v>1801414.5219999999</v>
      </c>
      <c r="W55" s="35">
        <f t="shared" si="1"/>
        <v>4781057</v>
      </c>
      <c r="X55" s="35">
        <f t="shared" si="1"/>
        <v>124900</v>
      </c>
      <c r="Y55" s="35">
        <f t="shared" si="1"/>
        <v>1923500</v>
      </c>
      <c r="Z55" s="35">
        <f t="shared" si="1"/>
        <v>149986.44282016141</v>
      </c>
      <c r="AA55" s="35">
        <f t="shared" si="1"/>
        <v>294584620</v>
      </c>
      <c r="AB55" s="35">
        <f t="shared" si="1"/>
        <v>2712572.1780000003</v>
      </c>
      <c r="AC55" s="36">
        <f t="shared" si="1"/>
        <v>297297192.17799997</v>
      </c>
      <c r="AD55" s="27" t="s">
        <v>5</v>
      </c>
      <c r="AE55"/>
    </row>
    <row r="56" spans="1:31" ht="14.65" thickBot="1" x14ac:dyDescent="0.5">
      <c r="A56" s="15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236"/>
      <c r="Q56" s="38"/>
      <c r="R56" s="2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9"/>
      <c r="AD56" s="27"/>
      <c r="AE56"/>
    </row>
    <row r="57" spans="1:31" ht="14.65" thickTop="1" x14ac:dyDescent="0.4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1"/>
      <c r="U57" s="31"/>
      <c r="V57" s="27"/>
      <c r="W57" s="27"/>
      <c r="X57" s="27"/>
      <c r="Y57" s="27"/>
      <c r="Z57" s="27"/>
      <c r="AB57" s="27"/>
      <c r="AC57" s="27"/>
    </row>
    <row r="58" spans="1:31" x14ac:dyDescent="0.45">
      <c r="B58" s="255"/>
      <c r="C58" s="27"/>
      <c r="D58" s="27"/>
      <c r="E58" s="27"/>
      <c r="G58" s="27"/>
      <c r="H58" s="27"/>
      <c r="I58" s="27"/>
      <c r="J58" s="255"/>
      <c r="K58" s="255"/>
      <c r="L58" s="27"/>
      <c r="M58" s="27"/>
      <c r="N58" s="27"/>
      <c r="O58" s="255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B58" s="27"/>
      <c r="AC58" s="27"/>
    </row>
    <row r="59" spans="1:31" x14ac:dyDescent="0.45">
      <c r="C59" s="40"/>
      <c r="D59" s="40"/>
      <c r="E59" s="40"/>
    </row>
  </sheetData>
  <mergeCells count="5">
    <mergeCell ref="R1:AD1"/>
    <mergeCell ref="A3:Q3"/>
    <mergeCell ref="R3:AD3"/>
    <mergeCell ref="A4:Q4"/>
    <mergeCell ref="R4:A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F603-D2C9-43CF-9B99-1BC07B5E5A2B}">
  <dimension ref="A1:G262"/>
  <sheetViews>
    <sheetView workbookViewId="0">
      <selection sqref="A1:D1"/>
    </sheetView>
  </sheetViews>
  <sheetFormatPr defaultColWidth="9.19921875" defaultRowHeight="14.25" x14ac:dyDescent="0.45"/>
  <cols>
    <col min="1" max="2" width="29.265625" customWidth="1"/>
    <col min="3" max="3" width="43.53125" customWidth="1"/>
    <col min="4" max="4" width="22.53125" style="183" bestFit="1" customWidth="1"/>
    <col min="5" max="5" width="22.53125" customWidth="1"/>
    <col min="6" max="6" width="19.73046875" customWidth="1"/>
    <col min="7" max="7" width="17.265625" customWidth="1"/>
    <col min="8" max="8" width="19.53125" customWidth="1"/>
    <col min="122" max="122" width="9.265625" customWidth="1"/>
    <col min="123" max="123" width="9.19921875" customWidth="1"/>
    <col min="124" max="124" width="23.796875" customWidth="1"/>
    <col min="125" max="125" width="61" customWidth="1"/>
    <col min="126" max="126" width="29.46484375" customWidth="1"/>
    <col min="127" max="127" width="2.73046875" customWidth="1"/>
    <col min="129" max="129" width="27.73046875" customWidth="1"/>
    <col min="131" max="131" width="20.46484375" customWidth="1"/>
    <col min="132" max="132" width="11" customWidth="1"/>
    <col min="133" max="133" width="13.19921875" customWidth="1"/>
    <col min="134" max="134" width="12.19921875" customWidth="1"/>
    <col min="378" max="378" width="9.265625" customWidth="1"/>
    <col min="379" max="379" width="9.19921875" customWidth="1"/>
    <col min="380" max="380" width="23.796875" customWidth="1"/>
    <col min="381" max="381" width="61" customWidth="1"/>
    <col min="382" max="382" width="29.46484375" customWidth="1"/>
    <col min="383" max="383" width="2.73046875" customWidth="1"/>
    <col min="385" max="385" width="27.73046875" customWidth="1"/>
    <col min="387" max="387" width="20.46484375" customWidth="1"/>
    <col min="388" max="388" width="11" customWidth="1"/>
    <col min="389" max="389" width="13.19921875" customWidth="1"/>
    <col min="390" max="390" width="12.19921875" customWidth="1"/>
    <col min="634" max="634" width="9.265625" customWidth="1"/>
    <col min="635" max="635" width="9.19921875" customWidth="1"/>
    <col min="636" max="636" width="23.796875" customWidth="1"/>
    <col min="637" max="637" width="61" customWidth="1"/>
    <col min="638" max="638" width="29.46484375" customWidth="1"/>
    <col min="639" max="639" width="2.73046875" customWidth="1"/>
    <col min="641" max="641" width="27.73046875" customWidth="1"/>
    <col min="643" max="643" width="20.46484375" customWidth="1"/>
    <col min="644" max="644" width="11" customWidth="1"/>
    <col min="645" max="645" width="13.19921875" customWidth="1"/>
    <col min="646" max="646" width="12.19921875" customWidth="1"/>
    <col min="890" max="890" width="9.265625" customWidth="1"/>
    <col min="891" max="891" width="9.19921875" customWidth="1"/>
    <col min="892" max="892" width="23.796875" customWidth="1"/>
    <col min="893" max="893" width="61" customWidth="1"/>
    <col min="894" max="894" width="29.46484375" customWidth="1"/>
    <col min="895" max="895" width="2.73046875" customWidth="1"/>
    <col min="897" max="897" width="27.73046875" customWidth="1"/>
    <col min="899" max="899" width="20.46484375" customWidth="1"/>
    <col min="900" max="900" width="11" customWidth="1"/>
    <col min="901" max="901" width="13.19921875" customWidth="1"/>
    <col min="902" max="902" width="12.19921875" customWidth="1"/>
    <col min="1146" max="1146" width="9.265625" customWidth="1"/>
    <col min="1147" max="1147" width="9.19921875" customWidth="1"/>
    <col min="1148" max="1148" width="23.796875" customWidth="1"/>
    <col min="1149" max="1149" width="61" customWidth="1"/>
    <col min="1150" max="1150" width="29.46484375" customWidth="1"/>
    <col min="1151" max="1151" width="2.73046875" customWidth="1"/>
    <col min="1153" max="1153" width="27.73046875" customWidth="1"/>
    <col min="1155" max="1155" width="20.46484375" customWidth="1"/>
    <col min="1156" max="1156" width="11" customWidth="1"/>
    <col min="1157" max="1157" width="13.19921875" customWidth="1"/>
    <col min="1158" max="1158" width="12.19921875" customWidth="1"/>
    <col min="1402" max="1402" width="9.265625" customWidth="1"/>
    <col min="1403" max="1403" width="9.19921875" customWidth="1"/>
    <col min="1404" max="1404" width="23.796875" customWidth="1"/>
    <col min="1405" max="1405" width="61" customWidth="1"/>
    <col min="1406" max="1406" width="29.46484375" customWidth="1"/>
    <col min="1407" max="1407" width="2.73046875" customWidth="1"/>
    <col min="1409" max="1409" width="27.73046875" customWidth="1"/>
    <col min="1411" max="1411" width="20.46484375" customWidth="1"/>
    <col min="1412" max="1412" width="11" customWidth="1"/>
    <col min="1413" max="1413" width="13.19921875" customWidth="1"/>
    <col min="1414" max="1414" width="12.19921875" customWidth="1"/>
    <col min="1658" max="1658" width="9.265625" customWidth="1"/>
    <col min="1659" max="1659" width="9.19921875" customWidth="1"/>
    <col min="1660" max="1660" width="23.796875" customWidth="1"/>
    <col min="1661" max="1661" width="61" customWidth="1"/>
    <col min="1662" max="1662" width="29.46484375" customWidth="1"/>
    <col min="1663" max="1663" width="2.73046875" customWidth="1"/>
    <col min="1665" max="1665" width="27.73046875" customWidth="1"/>
    <col min="1667" max="1667" width="20.46484375" customWidth="1"/>
    <col min="1668" max="1668" width="11" customWidth="1"/>
    <col min="1669" max="1669" width="13.19921875" customWidth="1"/>
    <col min="1670" max="1670" width="12.19921875" customWidth="1"/>
    <col min="1914" max="1914" width="9.265625" customWidth="1"/>
    <col min="1915" max="1915" width="9.19921875" customWidth="1"/>
    <col min="1916" max="1916" width="23.796875" customWidth="1"/>
    <col min="1917" max="1917" width="61" customWidth="1"/>
    <col min="1918" max="1918" width="29.46484375" customWidth="1"/>
    <col min="1919" max="1919" width="2.73046875" customWidth="1"/>
    <col min="1921" max="1921" width="27.73046875" customWidth="1"/>
    <col min="1923" max="1923" width="20.46484375" customWidth="1"/>
    <col min="1924" max="1924" width="11" customWidth="1"/>
    <col min="1925" max="1925" width="13.19921875" customWidth="1"/>
    <col min="1926" max="1926" width="12.19921875" customWidth="1"/>
    <col min="2170" max="2170" width="9.265625" customWidth="1"/>
    <col min="2171" max="2171" width="9.19921875" customWidth="1"/>
    <col min="2172" max="2172" width="23.796875" customWidth="1"/>
    <col min="2173" max="2173" width="61" customWidth="1"/>
    <col min="2174" max="2174" width="29.46484375" customWidth="1"/>
    <col min="2175" max="2175" width="2.73046875" customWidth="1"/>
    <col min="2177" max="2177" width="27.73046875" customWidth="1"/>
    <col min="2179" max="2179" width="20.46484375" customWidth="1"/>
    <col min="2180" max="2180" width="11" customWidth="1"/>
    <col min="2181" max="2181" width="13.19921875" customWidth="1"/>
    <col min="2182" max="2182" width="12.19921875" customWidth="1"/>
    <col min="2426" max="2426" width="9.265625" customWidth="1"/>
    <col min="2427" max="2427" width="9.19921875" customWidth="1"/>
    <col min="2428" max="2428" width="23.796875" customWidth="1"/>
    <col min="2429" max="2429" width="61" customWidth="1"/>
    <col min="2430" max="2430" width="29.46484375" customWidth="1"/>
    <col min="2431" max="2431" width="2.73046875" customWidth="1"/>
    <col min="2433" max="2433" width="27.73046875" customWidth="1"/>
    <col min="2435" max="2435" width="20.46484375" customWidth="1"/>
    <col min="2436" max="2436" width="11" customWidth="1"/>
    <col min="2437" max="2437" width="13.19921875" customWidth="1"/>
    <col min="2438" max="2438" width="12.19921875" customWidth="1"/>
    <col min="2682" max="2682" width="9.265625" customWidth="1"/>
    <col min="2683" max="2683" width="9.19921875" customWidth="1"/>
    <col min="2684" max="2684" width="23.796875" customWidth="1"/>
    <col min="2685" max="2685" width="61" customWidth="1"/>
    <col min="2686" max="2686" width="29.46484375" customWidth="1"/>
    <col min="2687" max="2687" width="2.73046875" customWidth="1"/>
    <col min="2689" max="2689" width="27.73046875" customWidth="1"/>
    <col min="2691" max="2691" width="20.46484375" customWidth="1"/>
    <col min="2692" max="2692" width="11" customWidth="1"/>
    <col min="2693" max="2693" width="13.19921875" customWidth="1"/>
    <col min="2694" max="2694" width="12.19921875" customWidth="1"/>
    <col min="2938" max="2938" width="9.265625" customWidth="1"/>
    <col min="2939" max="2939" width="9.19921875" customWidth="1"/>
    <col min="2940" max="2940" width="23.796875" customWidth="1"/>
    <col min="2941" max="2941" width="61" customWidth="1"/>
    <col min="2942" max="2942" width="29.46484375" customWidth="1"/>
    <col min="2943" max="2943" width="2.73046875" customWidth="1"/>
    <col min="2945" max="2945" width="27.73046875" customWidth="1"/>
    <col min="2947" max="2947" width="20.46484375" customWidth="1"/>
    <col min="2948" max="2948" width="11" customWidth="1"/>
    <col min="2949" max="2949" width="13.19921875" customWidth="1"/>
    <col min="2950" max="2950" width="12.19921875" customWidth="1"/>
    <col min="3194" max="3194" width="9.265625" customWidth="1"/>
    <col min="3195" max="3195" width="9.19921875" customWidth="1"/>
    <col min="3196" max="3196" width="23.796875" customWidth="1"/>
    <col min="3197" max="3197" width="61" customWidth="1"/>
    <col min="3198" max="3198" width="29.46484375" customWidth="1"/>
    <col min="3199" max="3199" width="2.73046875" customWidth="1"/>
    <col min="3201" max="3201" width="27.73046875" customWidth="1"/>
    <col min="3203" max="3203" width="20.46484375" customWidth="1"/>
    <col min="3204" max="3204" width="11" customWidth="1"/>
    <col min="3205" max="3205" width="13.19921875" customWidth="1"/>
    <col min="3206" max="3206" width="12.19921875" customWidth="1"/>
    <col min="3450" max="3450" width="9.265625" customWidth="1"/>
    <col min="3451" max="3451" width="9.19921875" customWidth="1"/>
    <col min="3452" max="3452" width="23.796875" customWidth="1"/>
    <col min="3453" max="3453" width="61" customWidth="1"/>
    <col min="3454" max="3454" width="29.46484375" customWidth="1"/>
    <col min="3455" max="3455" width="2.73046875" customWidth="1"/>
    <col min="3457" max="3457" width="27.73046875" customWidth="1"/>
    <col min="3459" max="3459" width="20.46484375" customWidth="1"/>
    <col min="3460" max="3460" width="11" customWidth="1"/>
    <col min="3461" max="3461" width="13.19921875" customWidth="1"/>
    <col min="3462" max="3462" width="12.19921875" customWidth="1"/>
    <col min="3706" max="3706" width="9.265625" customWidth="1"/>
    <col min="3707" max="3707" width="9.19921875" customWidth="1"/>
    <col min="3708" max="3708" width="23.796875" customWidth="1"/>
    <col min="3709" max="3709" width="61" customWidth="1"/>
    <col min="3710" max="3710" width="29.46484375" customWidth="1"/>
    <col min="3711" max="3711" width="2.73046875" customWidth="1"/>
    <col min="3713" max="3713" width="27.73046875" customWidth="1"/>
    <col min="3715" max="3715" width="20.46484375" customWidth="1"/>
    <col min="3716" max="3716" width="11" customWidth="1"/>
    <col min="3717" max="3717" width="13.19921875" customWidth="1"/>
    <col min="3718" max="3718" width="12.19921875" customWidth="1"/>
    <col min="3962" max="3962" width="9.265625" customWidth="1"/>
    <col min="3963" max="3963" width="9.19921875" customWidth="1"/>
    <col min="3964" max="3964" width="23.796875" customWidth="1"/>
    <col min="3965" max="3965" width="61" customWidth="1"/>
    <col min="3966" max="3966" width="29.46484375" customWidth="1"/>
    <col min="3967" max="3967" width="2.73046875" customWidth="1"/>
    <col min="3969" max="3969" width="27.73046875" customWidth="1"/>
    <col min="3971" max="3971" width="20.46484375" customWidth="1"/>
    <col min="3972" max="3972" width="11" customWidth="1"/>
    <col min="3973" max="3973" width="13.19921875" customWidth="1"/>
    <col min="3974" max="3974" width="12.19921875" customWidth="1"/>
    <col min="4218" max="4218" width="9.265625" customWidth="1"/>
    <col min="4219" max="4219" width="9.19921875" customWidth="1"/>
    <col min="4220" max="4220" width="23.796875" customWidth="1"/>
    <col min="4221" max="4221" width="61" customWidth="1"/>
    <col min="4222" max="4222" width="29.46484375" customWidth="1"/>
    <col min="4223" max="4223" width="2.73046875" customWidth="1"/>
    <col min="4225" max="4225" width="27.73046875" customWidth="1"/>
    <col min="4227" max="4227" width="20.46484375" customWidth="1"/>
    <col min="4228" max="4228" width="11" customWidth="1"/>
    <col min="4229" max="4229" width="13.19921875" customWidth="1"/>
    <col min="4230" max="4230" width="12.19921875" customWidth="1"/>
    <col min="4474" max="4474" width="9.265625" customWidth="1"/>
    <col min="4475" max="4475" width="9.19921875" customWidth="1"/>
    <col min="4476" max="4476" width="23.796875" customWidth="1"/>
    <col min="4477" max="4477" width="61" customWidth="1"/>
    <col min="4478" max="4478" width="29.46484375" customWidth="1"/>
    <col min="4479" max="4479" width="2.73046875" customWidth="1"/>
    <col min="4481" max="4481" width="27.73046875" customWidth="1"/>
    <col min="4483" max="4483" width="20.46484375" customWidth="1"/>
    <col min="4484" max="4484" width="11" customWidth="1"/>
    <col min="4485" max="4485" width="13.19921875" customWidth="1"/>
    <col min="4486" max="4486" width="12.19921875" customWidth="1"/>
    <col min="4730" max="4730" width="9.265625" customWidth="1"/>
    <col min="4731" max="4731" width="9.19921875" customWidth="1"/>
    <col min="4732" max="4732" width="23.796875" customWidth="1"/>
    <col min="4733" max="4733" width="61" customWidth="1"/>
    <col min="4734" max="4734" width="29.46484375" customWidth="1"/>
    <col min="4735" max="4735" width="2.73046875" customWidth="1"/>
    <col min="4737" max="4737" width="27.73046875" customWidth="1"/>
    <col min="4739" max="4739" width="20.46484375" customWidth="1"/>
    <col min="4740" max="4740" width="11" customWidth="1"/>
    <col min="4741" max="4741" width="13.19921875" customWidth="1"/>
    <col min="4742" max="4742" width="12.19921875" customWidth="1"/>
    <col min="4986" max="4986" width="9.265625" customWidth="1"/>
    <col min="4987" max="4987" width="9.19921875" customWidth="1"/>
    <col min="4988" max="4988" width="23.796875" customWidth="1"/>
    <col min="4989" max="4989" width="61" customWidth="1"/>
    <col min="4990" max="4990" width="29.46484375" customWidth="1"/>
    <col min="4991" max="4991" width="2.73046875" customWidth="1"/>
    <col min="4993" max="4993" width="27.73046875" customWidth="1"/>
    <col min="4995" max="4995" width="20.46484375" customWidth="1"/>
    <col min="4996" max="4996" width="11" customWidth="1"/>
    <col min="4997" max="4997" width="13.19921875" customWidth="1"/>
    <col min="4998" max="4998" width="12.19921875" customWidth="1"/>
    <col min="5242" max="5242" width="9.265625" customWidth="1"/>
    <col min="5243" max="5243" width="9.19921875" customWidth="1"/>
    <col min="5244" max="5244" width="23.796875" customWidth="1"/>
    <col min="5245" max="5245" width="61" customWidth="1"/>
    <col min="5246" max="5246" width="29.46484375" customWidth="1"/>
    <col min="5247" max="5247" width="2.73046875" customWidth="1"/>
    <col min="5249" max="5249" width="27.73046875" customWidth="1"/>
    <col min="5251" max="5251" width="20.46484375" customWidth="1"/>
    <col min="5252" max="5252" width="11" customWidth="1"/>
    <col min="5253" max="5253" width="13.19921875" customWidth="1"/>
    <col min="5254" max="5254" width="12.19921875" customWidth="1"/>
    <col min="5498" max="5498" width="9.265625" customWidth="1"/>
    <col min="5499" max="5499" width="9.19921875" customWidth="1"/>
    <col min="5500" max="5500" width="23.796875" customWidth="1"/>
    <col min="5501" max="5501" width="61" customWidth="1"/>
    <col min="5502" max="5502" width="29.46484375" customWidth="1"/>
    <col min="5503" max="5503" width="2.73046875" customWidth="1"/>
    <col min="5505" max="5505" width="27.73046875" customWidth="1"/>
    <col min="5507" max="5507" width="20.46484375" customWidth="1"/>
    <col min="5508" max="5508" width="11" customWidth="1"/>
    <col min="5509" max="5509" width="13.19921875" customWidth="1"/>
    <col min="5510" max="5510" width="12.19921875" customWidth="1"/>
    <col min="5754" max="5754" width="9.265625" customWidth="1"/>
    <col min="5755" max="5755" width="9.19921875" customWidth="1"/>
    <col min="5756" max="5756" width="23.796875" customWidth="1"/>
    <col min="5757" max="5757" width="61" customWidth="1"/>
    <col min="5758" max="5758" width="29.46484375" customWidth="1"/>
    <col min="5759" max="5759" width="2.73046875" customWidth="1"/>
    <col min="5761" max="5761" width="27.73046875" customWidth="1"/>
    <col min="5763" max="5763" width="20.46484375" customWidth="1"/>
    <col min="5764" max="5764" width="11" customWidth="1"/>
    <col min="5765" max="5765" width="13.19921875" customWidth="1"/>
    <col min="5766" max="5766" width="12.19921875" customWidth="1"/>
    <col min="6010" max="6010" width="9.265625" customWidth="1"/>
    <col min="6011" max="6011" width="9.19921875" customWidth="1"/>
    <col min="6012" max="6012" width="23.796875" customWidth="1"/>
    <col min="6013" max="6013" width="61" customWidth="1"/>
    <col min="6014" max="6014" width="29.46484375" customWidth="1"/>
    <col min="6015" max="6015" width="2.73046875" customWidth="1"/>
    <col min="6017" max="6017" width="27.73046875" customWidth="1"/>
    <col min="6019" max="6019" width="20.46484375" customWidth="1"/>
    <col min="6020" max="6020" width="11" customWidth="1"/>
    <col min="6021" max="6021" width="13.19921875" customWidth="1"/>
    <col min="6022" max="6022" width="12.19921875" customWidth="1"/>
    <col min="6266" max="6266" width="9.265625" customWidth="1"/>
    <col min="6267" max="6267" width="9.19921875" customWidth="1"/>
    <col min="6268" max="6268" width="23.796875" customWidth="1"/>
    <col min="6269" max="6269" width="61" customWidth="1"/>
    <col min="6270" max="6270" width="29.46484375" customWidth="1"/>
    <col min="6271" max="6271" width="2.73046875" customWidth="1"/>
    <col min="6273" max="6273" width="27.73046875" customWidth="1"/>
    <col min="6275" max="6275" width="20.46484375" customWidth="1"/>
    <col min="6276" max="6276" width="11" customWidth="1"/>
    <col min="6277" max="6277" width="13.19921875" customWidth="1"/>
    <col min="6278" max="6278" width="12.19921875" customWidth="1"/>
    <col min="6522" max="6522" width="9.265625" customWidth="1"/>
    <col min="6523" max="6523" width="9.19921875" customWidth="1"/>
    <col min="6524" max="6524" width="23.796875" customWidth="1"/>
    <col min="6525" max="6525" width="61" customWidth="1"/>
    <col min="6526" max="6526" width="29.46484375" customWidth="1"/>
    <col min="6527" max="6527" width="2.73046875" customWidth="1"/>
    <col min="6529" max="6529" width="27.73046875" customWidth="1"/>
    <col min="6531" max="6531" width="20.46484375" customWidth="1"/>
    <col min="6532" max="6532" width="11" customWidth="1"/>
    <col min="6533" max="6533" width="13.19921875" customWidth="1"/>
    <col min="6534" max="6534" width="12.19921875" customWidth="1"/>
    <col min="6778" max="6778" width="9.265625" customWidth="1"/>
    <col min="6779" max="6779" width="9.19921875" customWidth="1"/>
    <col min="6780" max="6780" width="23.796875" customWidth="1"/>
    <col min="6781" max="6781" width="61" customWidth="1"/>
    <col min="6782" max="6782" width="29.46484375" customWidth="1"/>
    <col min="6783" max="6783" width="2.73046875" customWidth="1"/>
    <col min="6785" max="6785" width="27.73046875" customWidth="1"/>
    <col min="6787" max="6787" width="20.46484375" customWidth="1"/>
    <col min="6788" max="6788" width="11" customWidth="1"/>
    <col min="6789" max="6789" width="13.19921875" customWidth="1"/>
    <col min="6790" max="6790" width="12.19921875" customWidth="1"/>
    <col min="7034" max="7034" width="9.265625" customWidth="1"/>
    <col min="7035" max="7035" width="9.19921875" customWidth="1"/>
    <col min="7036" max="7036" width="23.796875" customWidth="1"/>
    <col min="7037" max="7037" width="61" customWidth="1"/>
    <col min="7038" max="7038" width="29.46484375" customWidth="1"/>
    <col min="7039" max="7039" width="2.73046875" customWidth="1"/>
    <col min="7041" max="7041" width="27.73046875" customWidth="1"/>
    <col min="7043" max="7043" width="20.46484375" customWidth="1"/>
    <col min="7044" max="7044" width="11" customWidth="1"/>
    <col min="7045" max="7045" width="13.19921875" customWidth="1"/>
    <col min="7046" max="7046" width="12.19921875" customWidth="1"/>
    <col min="7290" max="7290" width="9.265625" customWidth="1"/>
    <col min="7291" max="7291" width="9.19921875" customWidth="1"/>
    <col min="7292" max="7292" width="23.796875" customWidth="1"/>
    <col min="7293" max="7293" width="61" customWidth="1"/>
    <col min="7294" max="7294" width="29.46484375" customWidth="1"/>
    <col min="7295" max="7295" width="2.73046875" customWidth="1"/>
    <col min="7297" max="7297" width="27.73046875" customWidth="1"/>
    <col min="7299" max="7299" width="20.46484375" customWidth="1"/>
    <col min="7300" max="7300" width="11" customWidth="1"/>
    <col min="7301" max="7301" width="13.19921875" customWidth="1"/>
    <col min="7302" max="7302" width="12.19921875" customWidth="1"/>
    <col min="7546" max="7546" width="9.265625" customWidth="1"/>
    <col min="7547" max="7547" width="9.19921875" customWidth="1"/>
    <col min="7548" max="7548" width="23.796875" customWidth="1"/>
    <col min="7549" max="7549" width="61" customWidth="1"/>
    <col min="7550" max="7550" width="29.46484375" customWidth="1"/>
    <col min="7551" max="7551" width="2.73046875" customWidth="1"/>
    <col min="7553" max="7553" width="27.73046875" customWidth="1"/>
    <col min="7555" max="7555" width="20.46484375" customWidth="1"/>
    <col min="7556" max="7556" width="11" customWidth="1"/>
    <col min="7557" max="7557" width="13.19921875" customWidth="1"/>
    <col min="7558" max="7558" width="12.19921875" customWidth="1"/>
    <col min="7802" max="7802" width="9.265625" customWidth="1"/>
    <col min="7803" max="7803" width="9.19921875" customWidth="1"/>
    <col min="7804" max="7804" width="23.796875" customWidth="1"/>
    <col min="7805" max="7805" width="61" customWidth="1"/>
    <col min="7806" max="7806" width="29.46484375" customWidth="1"/>
    <col min="7807" max="7807" width="2.73046875" customWidth="1"/>
    <col min="7809" max="7809" width="27.73046875" customWidth="1"/>
    <col min="7811" max="7811" width="20.46484375" customWidth="1"/>
    <col min="7812" max="7812" width="11" customWidth="1"/>
    <col min="7813" max="7813" width="13.19921875" customWidth="1"/>
    <col min="7814" max="7814" width="12.19921875" customWidth="1"/>
    <col min="8058" max="8058" width="9.265625" customWidth="1"/>
    <col min="8059" max="8059" width="9.19921875" customWidth="1"/>
    <col min="8060" max="8060" width="23.796875" customWidth="1"/>
    <col min="8061" max="8061" width="61" customWidth="1"/>
    <col min="8062" max="8062" width="29.46484375" customWidth="1"/>
    <col min="8063" max="8063" width="2.73046875" customWidth="1"/>
    <col min="8065" max="8065" width="27.73046875" customWidth="1"/>
    <col min="8067" max="8067" width="20.46484375" customWidth="1"/>
    <col min="8068" max="8068" width="11" customWidth="1"/>
    <col min="8069" max="8069" width="13.19921875" customWidth="1"/>
    <col min="8070" max="8070" width="12.19921875" customWidth="1"/>
    <col min="8314" max="8314" width="9.265625" customWidth="1"/>
    <col min="8315" max="8315" width="9.19921875" customWidth="1"/>
    <col min="8316" max="8316" width="23.796875" customWidth="1"/>
    <col min="8317" max="8317" width="61" customWidth="1"/>
    <col min="8318" max="8318" width="29.46484375" customWidth="1"/>
    <col min="8319" max="8319" width="2.73046875" customWidth="1"/>
    <col min="8321" max="8321" width="27.73046875" customWidth="1"/>
    <col min="8323" max="8323" width="20.46484375" customWidth="1"/>
    <col min="8324" max="8324" width="11" customWidth="1"/>
    <col min="8325" max="8325" width="13.19921875" customWidth="1"/>
    <col min="8326" max="8326" width="12.19921875" customWidth="1"/>
    <col min="8570" max="8570" width="9.265625" customWidth="1"/>
    <col min="8571" max="8571" width="9.19921875" customWidth="1"/>
    <col min="8572" max="8572" width="23.796875" customWidth="1"/>
    <col min="8573" max="8573" width="61" customWidth="1"/>
    <col min="8574" max="8574" width="29.46484375" customWidth="1"/>
    <col min="8575" max="8575" width="2.73046875" customWidth="1"/>
    <col min="8577" max="8577" width="27.73046875" customWidth="1"/>
    <col min="8579" max="8579" width="20.46484375" customWidth="1"/>
    <col min="8580" max="8580" width="11" customWidth="1"/>
    <col min="8581" max="8581" width="13.19921875" customWidth="1"/>
    <col min="8582" max="8582" width="12.19921875" customWidth="1"/>
    <col min="8826" max="8826" width="9.265625" customWidth="1"/>
    <col min="8827" max="8827" width="9.19921875" customWidth="1"/>
    <col min="8828" max="8828" width="23.796875" customWidth="1"/>
    <col min="8829" max="8829" width="61" customWidth="1"/>
    <col min="8830" max="8830" width="29.46484375" customWidth="1"/>
    <col min="8831" max="8831" width="2.73046875" customWidth="1"/>
    <col min="8833" max="8833" width="27.73046875" customWidth="1"/>
    <col min="8835" max="8835" width="20.46484375" customWidth="1"/>
    <col min="8836" max="8836" width="11" customWidth="1"/>
    <col min="8837" max="8837" width="13.19921875" customWidth="1"/>
    <col min="8838" max="8838" width="12.19921875" customWidth="1"/>
    <col min="9082" max="9082" width="9.265625" customWidth="1"/>
    <col min="9083" max="9083" width="9.19921875" customWidth="1"/>
    <col min="9084" max="9084" width="23.796875" customWidth="1"/>
    <col min="9085" max="9085" width="61" customWidth="1"/>
    <col min="9086" max="9086" width="29.46484375" customWidth="1"/>
    <col min="9087" max="9087" width="2.73046875" customWidth="1"/>
    <col min="9089" max="9089" width="27.73046875" customWidth="1"/>
    <col min="9091" max="9091" width="20.46484375" customWidth="1"/>
    <col min="9092" max="9092" width="11" customWidth="1"/>
    <col min="9093" max="9093" width="13.19921875" customWidth="1"/>
    <col min="9094" max="9094" width="12.19921875" customWidth="1"/>
    <col min="9338" max="9338" width="9.265625" customWidth="1"/>
    <col min="9339" max="9339" width="9.19921875" customWidth="1"/>
    <col min="9340" max="9340" width="23.796875" customWidth="1"/>
    <col min="9341" max="9341" width="61" customWidth="1"/>
    <col min="9342" max="9342" width="29.46484375" customWidth="1"/>
    <col min="9343" max="9343" width="2.73046875" customWidth="1"/>
    <col min="9345" max="9345" width="27.73046875" customWidth="1"/>
    <col min="9347" max="9347" width="20.46484375" customWidth="1"/>
    <col min="9348" max="9348" width="11" customWidth="1"/>
    <col min="9349" max="9349" width="13.19921875" customWidth="1"/>
    <col min="9350" max="9350" width="12.19921875" customWidth="1"/>
    <col min="9594" max="9594" width="9.265625" customWidth="1"/>
    <col min="9595" max="9595" width="9.19921875" customWidth="1"/>
    <col min="9596" max="9596" width="23.796875" customWidth="1"/>
    <col min="9597" max="9597" width="61" customWidth="1"/>
    <col min="9598" max="9598" width="29.46484375" customWidth="1"/>
    <col min="9599" max="9599" width="2.73046875" customWidth="1"/>
    <col min="9601" max="9601" width="27.73046875" customWidth="1"/>
    <col min="9603" max="9603" width="20.46484375" customWidth="1"/>
    <col min="9604" max="9604" width="11" customWidth="1"/>
    <col min="9605" max="9605" width="13.19921875" customWidth="1"/>
    <col min="9606" max="9606" width="12.19921875" customWidth="1"/>
    <col min="9850" max="9850" width="9.265625" customWidth="1"/>
    <col min="9851" max="9851" width="9.19921875" customWidth="1"/>
    <col min="9852" max="9852" width="23.796875" customWidth="1"/>
    <col min="9853" max="9853" width="61" customWidth="1"/>
    <col min="9854" max="9854" width="29.46484375" customWidth="1"/>
    <col min="9855" max="9855" width="2.73046875" customWidth="1"/>
    <col min="9857" max="9857" width="27.73046875" customWidth="1"/>
    <col min="9859" max="9859" width="20.46484375" customWidth="1"/>
    <col min="9860" max="9860" width="11" customWidth="1"/>
    <col min="9861" max="9861" width="13.19921875" customWidth="1"/>
    <col min="9862" max="9862" width="12.19921875" customWidth="1"/>
    <col min="10106" max="10106" width="9.265625" customWidth="1"/>
    <col min="10107" max="10107" width="9.19921875" customWidth="1"/>
    <col min="10108" max="10108" width="23.796875" customWidth="1"/>
    <col min="10109" max="10109" width="61" customWidth="1"/>
    <col min="10110" max="10110" width="29.46484375" customWidth="1"/>
    <col min="10111" max="10111" width="2.73046875" customWidth="1"/>
    <col min="10113" max="10113" width="27.73046875" customWidth="1"/>
    <col min="10115" max="10115" width="20.46484375" customWidth="1"/>
    <col min="10116" max="10116" width="11" customWidth="1"/>
    <col min="10117" max="10117" width="13.19921875" customWidth="1"/>
    <col min="10118" max="10118" width="12.19921875" customWidth="1"/>
    <col min="10362" max="10362" width="9.265625" customWidth="1"/>
    <col min="10363" max="10363" width="9.19921875" customWidth="1"/>
    <col min="10364" max="10364" width="23.796875" customWidth="1"/>
    <col min="10365" max="10365" width="61" customWidth="1"/>
    <col min="10366" max="10366" width="29.46484375" customWidth="1"/>
    <col min="10367" max="10367" width="2.73046875" customWidth="1"/>
    <col min="10369" max="10369" width="27.73046875" customWidth="1"/>
    <col min="10371" max="10371" width="20.46484375" customWidth="1"/>
    <col min="10372" max="10372" width="11" customWidth="1"/>
    <col min="10373" max="10373" width="13.19921875" customWidth="1"/>
    <col min="10374" max="10374" width="12.19921875" customWidth="1"/>
    <col min="10618" max="10618" width="9.265625" customWidth="1"/>
    <col min="10619" max="10619" width="9.19921875" customWidth="1"/>
    <col min="10620" max="10620" width="23.796875" customWidth="1"/>
    <col min="10621" max="10621" width="61" customWidth="1"/>
    <col min="10622" max="10622" width="29.46484375" customWidth="1"/>
    <col min="10623" max="10623" width="2.73046875" customWidth="1"/>
    <col min="10625" max="10625" width="27.73046875" customWidth="1"/>
    <col min="10627" max="10627" width="20.46484375" customWidth="1"/>
    <col min="10628" max="10628" width="11" customWidth="1"/>
    <col min="10629" max="10629" width="13.19921875" customWidth="1"/>
    <col min="10630" max="10630" width="12.19921875" customWidth="1"/>
    <col min="10874" max="10874" width="9.265625" customWidth="1"/>
    <col min="10875" max="10875" width="9.19921875" customWidth="1"/>
    <col min="10876" max="10876" width="23.796875" customWidth="1"/>
    <col min="10877" max="10877" width="61" customWidth="1"/>
    <col min="10878" max="10878" width="29.46484375" customWidth="1"/>
    <col min="10879" max="10879" width="2.73046875" customWidth="1"/>
    <col min="10881" max="10881" width="27.73046875" customWidth="1"/>
    <col min="10883" max="10883" width="20.46484375" customWidth="1"/>
    <col min="10884" max="10884" width="11" customWidth="1"/>
    <col min="10885" max="10885" width="13.19921875" customWidth="1"/>
    <col min="10886" max="10886" width="12.19921875" customWidth="1"/>
    <col min="11130" max="11130" width="9.265625" customWidth="1"/>
    <col min="11131" max="11131" width="9.19921875" customWidth="1"/>
    <col min="11132" max="11132" width="23.796875" customWidth="1"/>
    <col min="11133" max="11133" width="61" customWidth="1"/>
    <col min="11134" max="11134" width="29.46484375" customWidth="1"/>
    <col min="11135" max="11135" width="2.73046875" customWidth="1"/>
    <col min="11137" max="11137" width="27.73046875" customWidth="1"/>
    <col min="11139" max="11139" width="20.46484375" customWidth="1"/>
    <col min="11140" max="11140" width="11" customWidth="1"/>
    <col min="11141" max="11141" width="13.19921875" customWidth="1"/>
    <col min="11142" max="11142" width="12.19921875" customWidth="1"/>
    <col min="11386" max="11386" width="9.265625" customWidth="1"/>
    <col min="11387" max="11387" width="9.19921875" customWidth="1"/>
    <col min="11388" max="11388" width="23.796875" customWidth="1"/>
    <col min="11389" max="11389" width="61" customWidth="1"/>
    <col min="11390" max="11390" width="29.46484375" customWidth="1"/>
    <col min="11391" max="11391" width="2.73046875" customWidth="1"/>
    <col min="11393" max="11393" width="27.73046875" customWidth="1"/>
    <col min="11395" max="11395" width="20.46484375" customWidth="1"/>
    <col min="11396" max="11396" width="11" customWidth="1"/>
    <col min="11397" max="11397" width="13.19921875" customWidth="1"/>
    <col min="11398" max="11398" width="12.19921875" customWidth="1"/>
    <col min="11642" max="11642" width="9.265625" customWidth="1"/>
    <col min="11643" max="11643" width="9.19921875" customWidth="1"/>
    <col min="11644" max="11644" width="23.796875" customWidth="1"/>
    <col min="11645" max="11645" width="61" customWidth="1"/>
    <col min="11646" max="11646" width="29.46484375" customWidth="1"/>
    <col min="11647" max="11647" width="2.73046875" customWidth="1"/>
    <col min="11649" max="11649" width="27.73046875" customWidth="1"/>
    <col min="11651" max="11651" width="20.46484375" customWidth="1"/>
    <col min="11652" max="11652" width="11" customWidth="1"/>
    <col min="11653" max="11653" width="13.19921875" customWidth="1"/>
    <col min="11654" max="11654" width="12.19921875" customWidth="1"/>
    <col min="11898" max="11898" width="9.265625" customWidth="1"/>
    <col min="11899" max="11899" width="9.19921875" customWidth="1"/>
    <col min="11900" max="11900" width="23.796875" customWidth="1"/>
    <col min="11901" max="11901" width="61" customWidth="1"/>
    <col min="11902" max="11902" width="29.46484375" customWidth="1"/>
    <col min="11903" max="11903" width="2.73046875" customWidth="1"/>
    <col min="11905" max="11905" width="27.73046875" customWidth="1"/>
    <col min="11907" max="11907" width="20.46484375" customWidth="1"/>
    <col min="11908" max="11908" width="11" customWidth="1"/>
    <col min="11909" max="11909" width="13.19921875" customWidth="1"/>
    <col min="11910" max="11910" width="12.19921875" customWidth="1"/>
    <col min="12154" max="12154" width="9.265625" customWidth="1"/>
    <col min="12155" max="12155" width="9.19921875" customWidth="1"/>
    <col min="12156" max="12156" width="23.796875" customWidth="1"/>
    <col min="12157" max="12157" width="61" customWidth="1"/>
    <col min="12158" max="12158" width="29.46484375" customWidth="1"/>
    <col min="12159" max="12159" width="2.73046875" customWidth="1"/>
    <col min="12161" max="12161" width="27.73046875" customWidth="1"/>
    <col min="12163" max="12163" width="20.46484375" customWidth="1"/>
    <col min="12164" max="12164" width="11" customWidth="1"/>
    <col min="12165" max="12165" width="13.19921875" customWidth="1"/>
    <col min="12166" max="12166" width="12.19921875" customWidth="1"/>
    <col min="12410" max="12410" width="9.265625" customWidth="1"/>
    <col min="12411" max="12411" width="9.19921875" customWidth="1"/>
    <col min="12412" max="12412" width="23.796875" customWidth="1"/>
    <col min="12413" max="12413" width="61" customWidth="1"/>
    <col min="12414" max="12414" width="29.46484375" customWidth="1"/>
    <col min="12415" max="12415" width="2.73046875" customWidth="1"/>
    <col min="12417" max="12417" width="27.73046875" customWidth="1"/>
    <col min="12419" max="12419" width="20.46484375" customWidth="1"/>
    <col min="12420" max="12420" width="11" customWidth="1"/>
    <col min="12421" max="12421" width="13.19921875" customWidth="1"/>
    <col min="12422" max="12422" width="12.19921875" customWidth="1"/>
    <col min="12666" max="12666" width="9.265625" customWidth="1"/>
    <col min="12667" max="12667" width="9.19921875" customWidth="1"/>
    <col min="12668" max="12668" width="23.796875" customWidth="1"/>
    <col min="12669" max="12669" width="61" customWidth="1"/>
    <col min="12670" max="12670" width="29.46484375" customWidth="1"/>
    <col min="12671" max="12671" width="2.73046875" customWidth="1"/>
    <col min="12673" max="12673" width="27.73046875" customWidth="1"/>
    <col min="12675" max="12675" width="20.46484375" customWidth="1"/>
    <col min="12676" max="12676" width="11" customWidth="1"/>
    <col min="12677" max="12677" width="13.19921875" customWidth="1"/>
    <col min="12678" max="12678" width="12.19921875" customWidth="1"/>
    <col min="12922" max="12922" width="9.265625" customWidth="1"/>
    <col min="12923" max="12923" width="9.19921875" customWidth="1"/>
    <col min="12924" max="12924" width="23.796875" customWidth="1"/>
    <col min="12925" max="12925" width="61" customWidth="1"/>
    <col min="12926" max="12926" width="29.46484375" customWidth="1"/>
    <col min="12927" max="12927" width="2.73046875" customWidth="1"/>
    <col min="12929" max="12929" width="27.73046875" customWidth="1"/>
    <col min="12931" max="12931" width="20.46484375" customWidth="1"/>
    <col min="12932" max="12932" width="11" customWidth="1"/>
    <col min="12933" max="12933" width="13.19921875" customWidth="1"/>
    <col min="12934" max="12934" width="12.19921875" customWidth="1"/>
    <col min="13178" max="13178" width="9.265625" customWidth="1"/>
    <col min="13179" max="13179" width="9.19921875" customWidth="1"/>
    <col min="13180" max="13180" width="23.796875" customWidth="1"/>
    <col min="13181" max="13181" width="61" customWidth="1"/>
    <col min="13182" max="13182" width="29.46484375" customWidth="1"/>
    <col min="13183" max="13183" width="2.73046875" customWidth="1"/>
    <col min="13185" max="13185" width="27.73046875" customWidth="1"/>
    <col min="13187" max="13187" width="20.46484375" customWidth="1"/>
    <col min="13188" max="13188" width="11" customWidth="1"/>
    <col min="13189" max="13189" width="13.19921875" customWidth="1"/>
    <col min="13190" max="13190" width="12.19921875" customWidth="1"/>
    <col min="13434" max="13434" width="9.265625" customWidth="1"/>
    <col min="13435" max="13435" width="9.19921875" customWidth="1"/>
    <col min="13436" max="13436" width="23.796875" customWidth="1"/>
    <col min="13437" max="13437" width="61" customWidth="1"/>
    <col min="13438" max="13438" width="29.46484375" customWidth="1"/>
    <col min="13439" max="13439" width="2.73046875" customWidth="1"/>
    <col min="13441" max="13441" width="27.73046875" customWidth="1"/>
    <col min="13443" max="13443" width="20.46484375" customWidth="1"/>
    <col min="13444" max="13444" width="11" customWidth="1"/>
    <col min="13445" max="13445" width="13.19921875" customWidth="1"/>
    <col min="13446" max="13446" width="12.19921875" customWidth="1"/>
    <col min="13690" max="13690" width="9.265625" customWidth="1"/>
    <col min="13691" max="13691" width="9.19921875" customWidth="1"/>
    <col min="13692" max="13692" width="23.796875" customWidth="1"/>
    <col min="13693" max="13693" width="61" customWidth="1"/>
    <col min="13694" max="13694" width="29.46484375" customWidth="1"/>
    <col min="13695" max="13695" width="2.73046875" customWidth="1"/>
    <col min="13697" max="13697" width="27.73046875" customWidth="1"/>
    <col min="13699" max="13699" width="20.46484375" customWidth="1"/>
    <col min="13700" max="13700" width="11" customWidth="1"/>
    <col min="13701" max="13701" width="13.19921875" customWidth="1"/>
    <col min="13702" max="13702" width="12.19921875" customWidth="1"/>
    <col min="13946" max="13946" width="9.265625" customWidth="1"/>
    <col min="13947" max="13947" width="9.19921875" customWidth="1"/>
    <col min="13948" max="13948" width="23.796875" customWidth="1"/>
    <col min="13949" max="13949" width="61" customWidth="1"/>
    <col min="13950" max="13950" width="29.46484375" customWidth="1"/>
    <col min="13951" max="13951" width="2.73046875" customWidth="1"/>
    <col min="13953" max="13953" width="27.73046875" customWidth="1"/>
    <col min="13955" max="13955" width="20.46484375" customWidth="1"/>
    <col min="13956" max="13956" width="11" customWidth="1"/>
    <col min="13957" max="13957" width="13.19921875" customWidth="1"/>
    <col min="13958" max="13958" width="12.19921875" customWidth="1"/>
    <col min="14202" max="14202" width="9.265625" customWidth="1"/>
    <col min="14203" max="14203" width="9.19921875" customWidth="1"/>
    <col min="14204" max="14204" width="23.796875" customWidth="1"/>
    <col min="14205" max="14205" width="61" customWidth="1"/>
    <col min="14206" max="14206" width="29.46484375" customWidth="1"/>
    <col min="14207" max="14207" width="2.73046875" customWidth="1"/>
    <col min="14209" max="14209" width="27.73046875" customWidth="1"/>
    <col min="14211" max="14211" width="20.46484375" customWidth="1"/>
    <col min="14212" max="14212" width="11" customWidth="1"/>
    <col min="14213" max="14213" width="13.19921875" customWidth="1"/>
    <col min="14214" max="14214" width="12.19921875" customWidth="1"/>
    <col min="14458" max="14458" width="9.265625" customWidth="1"/>
    <col min="14459" max="14459" width="9.19921875" customWidth="1"/>
    <col min="14460" max="14460" width="23.796875" customWidth="1"/>
    <col min="14461" max="14461" width="61" customWidth="1"/>
    <col min="14462" max="14462" width="29.46484375" customWidth="1"/>
    <col min="14463" max="14463" width="2.73046875" customWidth="1"/>
    <col min="14465" max="14465" width="27.73046875" customWidth="1"/>
    <col min="14467" max="14467" width="20.46484375" customWidth="1"/>
    <col min="14468" max="14468" width="11" customWidth="1"/>
    <col min="14469" max="14469" width="13.19921875" customWidth="1"/>
    <col min="14470" max="14470" width="12.19921875" customWidth="1"/>
    <col min="14714" max="14714" width="9.265625" customWidth="1"/>
    <col min="14715" max="14715" width="9.19921875" customWidth="1"/>
    <col min="14716" max="14716" width="23.796875" customWidth="1"/>
    <col min="14717" max="14717" width="61" customWidth="1"/>
    <col min="14718" max="14718" width="29.46484375" customWidth="1"/>
    <col min="14719" max="14719" width="2.73046875" customWidth="1"/>
    <col min="14721" max="14721" width="27.73046875" customWidth="1"/>
    <col min="14723" max="14723" width="20.46484375" customWidth="1"/>
    <col min="14724" max="14724" width="11" customWidth="1"/>
    <col min="14725" max="14725" width="13.19921875" customWidth="1"/>
    <col min="14726" max="14726" width="12.19921875" customWidth="1"/>
    <col min="14970" max="14970" width="9.265625" customWidth="1"/>
    <col min="14971" max="14971" width="9.19921875" customWidth="1"/>
    <col min="14972" max="14972" width="23.796875" customWidth="1"/>
    <col min="14973" max="14973" width="61" customWidth="1"/>
    <col min="14974" max="14974" width="29.46484375" customWidth="1"/>
    <col min="14975" max="14975" width="2.73046875" customWidth="1"/>
    <col min="14977" max="14977" width="27.73046875" customWidth="1"/>
    <col min="14979" max="14979" width="20.46484375" customWidth="1"/>
    <col min="14980" max="14980" width="11" customWidth="1"/>
    <col min="14981" max="14981" width="13.19921875" customWidth="1"/>
    <col min="14982" max="14982" width="12.19921875" customWidth="1"/>
    <col min="15226" max="15226" width="9.265625" customWidth="1"/>
    <col min="15227" max="15227" width="9.19921875" customWidth="1"/>
    <col min="15228" max="15228" width="23.796875" customWidth="1"/>
    <col min="15229" max="15229" width="61" customWidth="1"/>
    <col min="15230" max="15230" width="29.46484375" customWidth="1"/>
    <col min="15231" max="15231" width="2.73046875" customWidth="1"/>
    <col min="15233" max="15233" width="27.73046875" customWidth="1"/>
    <col min="15235" max="15235" width="20.46484375" customWidth="1"/>
    <col min="15236" max="15236" width="11" customWidth="1"/>
    <col min="15237" max="15237" width="13.19921875" customWidth="1"/>
    <col min="15238" max="15238" width="12.19921875" customWidth="1"/>
    <col min="15482" max="15482" width="9.265625" customWidth="1"/>
    <col min="15483" max="15483" width="9.19921875" customWidth="1"/>
    <col min="15484" max="15484" width="23.796875" customWidth="1"/>
    <col min="15485" max="15485" width="61" customWidth="1"/>
    <col min="15486" max="15486" width="29.46484375" customWidth="1"/>
    <col min="15487" max="15487" width="2.73046875" customWidth="1"/>
    <col min="15489" max="15489" width="27.73046875" customWidth="1"/>
    <col min="15491" max="15491" width="20.46484375" customWidth="1"/>
    <col min="15492" max="15492" width="11" customWidth="1"/>
    <col min="15493" max="15493" width="13.19921875" customWidth="1"/>
    <col min="15494" max="15494" width="12.19921875" customWidth="1"/>
    <col min="15738" max="15738" width="9.265625" customWidth="1"/>
    <col min="15739" max="15739" width="9.19921875" customWidth="1"/>
    <col min="15740" max="15740" width="23.796875" customWidth="1"/>
    <col min="15741" max="15741" width="61" customWidth="1"/>
    <col min="15742" max="15742" width="29.46484375" customWidth="1"/>
    <col min="15743" max="15743" width="2.73046875" customWidth="1"/>
    <col min="15745" max="15745" width="27.73046875" customWidth="1"/>
    <col min="15747" max="15747" width="20.46484375" customWidth="1"/>
    <col min="15748" max="15748" width="11" customWidth="1"/>
    <col min="15749" max="15749" width="13.19921875" customWidth="1"/>
    <col min="15750" max="15750" width="12.19921875" customWidth="1"/>
    <col min="15994" max="15994" width="9.265625" customWidth="1"/>
    <col min="15995" max="15995" width="9.19921875" customWidth="1"/>
    <col min="15996" max="15996" width="23.796875" customWidth="1"/>
    <col min="15997" max="15997" width="61" customWidth="1"/>
    <col min="15998" max="15998" width="29.46484375" customWidth="1"/>
    <col min="15999" max="15999" width="2.73046875" customWidth="1"/>
    <col min="16001" max="16001" width="27.73046875" customWidth="1"/>
    <col min="16003" max="16003" width="20.46484375" customWidth="1"/>
    <col min="16004" max="16004" width="11" customWidth="1"/>
    <col min="16005" max="16005" width="13.19921875" customWidth="1"/>
    <col min="16006" max="16006" width="12.19921875" customWidth="1"/>
  </cols>
  <sheetData>
    <row r="1" spans="1:6" s="126" customFormat="1" ht="23.25" customHeight="1" x14ac:dyDescent="0.45">
      <c r="A1" s="288" t="s">
        <v>103</v>
      </c>
      <c r="B1" s="289"/>
      <c r="C1" s="289"/>
      <c r="D1" s="290"/>
    </row>
    <row r="2" spans="1:6" s="126" customFormat="1" ht="23.25" customHeight="1" thickBot="1" x14ac:dyDescent="0.5">
      <c r="A2" s="291" t="s">
        <v>104</v>
      </c>
      <c r="B2" s="292"/>
      <c r="C2" s="292"/>
      <c r="D2" s="293"/>
    </row>
    <row r="3" spans="1:6" ht="42.75" customHeight="1" thickBot="1" x14ac:dyDescent="0.5">
      <c r="A3" s="294" t="s">
        <v>147</v>
      </c>
      <c r="B3" s="295"/>
      <c r="C3" s="295"/>
      <c r="D3" s="296"/>
    </row>
    <row r="4" spans="1:6" s="127" customFormat="1" ht="42" customHeight="1" thickBot="1" x14ac:dyDescent="0.6">
      <c r="A4" s="297" t="s">
        <v>148</v>
      </c>
      <c r="B4" s="298"/>
      <c r="C4" s="298"/>
      <c r="D4" s="299"/>
    </row>
    <row r="5" spans="1:6" ht="9.75" customHeight="1" x14ac:dyDescent="0.45">
      <c r="A5" s="131"/>
      <c r="B5" s="132"/>
      <c r="C5" s="132"/>
      <c r="D5" s="133"/>
    </row>
    <row r="6" spans="1:6" ht="17.649999999999999" x14ac:dyDescent="0.5">
      <c r="A6" s="285" t="s">
        <v>108</v>
      </c>
      <c r="B6" s="286"/>
      <c r="C6" s="286"/>
      <c r="D6" s="287"/>
      <c r="F6" t="s">
        <v>163</v>
      </c>
    </row>
    <row r="7" spans="1:6" ht="17.25" x14ac:dyDescent="0.45">
      <c r="A7" s="134"/>
      <c r="B7" s="135" t="s">
        <v>149</v>
      </c>
      <c r="C7" s="135"/>
      <c r="D7" s="246">
        <v>117492524</v>
      </c>
      <c r="F7" s="184">
        <f>ROUND(D7/1000,0)</f>
        <v>117493</v>
      </c>
    </row>
    <row r="8" spans="1:6" ht="17.25" x14ac:dyDescent="0.45">
      <c r="A8" s="134"/>
      <c r="B8" s="135" t="s">
        <v>150</v>
      </c>
      <c r="C8" s="135"/>
      <c r="D8" s="137">
        <f>D7*-0.005</f>
        <v>-587462.62</v>
      </c>
      <c r="F8" s="184"/>
    </row>
    <row r="9" spans="1:6" ht="17.25" x14ac:dyDescent="0.45">
      <c r="A9" s="134"/>
      <c r="B9" s="135" t="s">
        <v>111</v>
      </c>
      <c r="C9" s="135"/>
      <c r="D9" s="139">
        <v>47802</v>
      </c>
    </row>
    <row r="10" spans="1:6" ht="17.25" x14ac:dyDescent="0.45">
      <c r="A10" s="134"/>
      <c r="B10" s="135" t="s">
        <v>112</v>
      </c>
      <c r="C10" s="135"/>
      <c r="D10" s="140">
        <f>SUM(D7:D9)</f>
        <v>116952863.38</v>
      </c>
    </row>
    <row r="11" spans="1:6" ht="20.2" customHeight="1" x14ac:dyDescent="0.45">
      <c r="A11" s="134"/>
      <c r="B11" s="135"/>
      <c r="C11" s="135"/>
      <c r="D11" s="136"/>
    </row>
    <row r="12" spans="1:6" ht="17.649999999999999" x14ac:dyDescent="0.5">
      <c r="A12" s="285" t="s">
        <v>113</v>
      </c>
      <c r="B12" s="286"/>
      <c r="C12" s="286"/>
      <c r="D12" s="287"/>
      <c r="F12" t="s">
        <v>169</v>
      </c>
    </row>
    <row r="13" spans="1:6" ht="17.25" x14ac:dyDescent="0.45">
      <c r="A13" s="134"/>
      <c r="B13" s="135" t="s">
        <v>149</v>
      </c>
      <c r="C13" s="135"/>
      <c r="D13" s="246">
        <v>24543893</v>
      </c>
      <c r="F13" s="232">
        <f>ROUND(D13/1000,0)</f>
        <v>24544</v>
      </c>
    </row>
    <row r="14" spans="1:6" ht="17.25" x14ac:dyDescent="0.45">
      <c r="A14" s="134"/>
      <c r="B14" s="135" t="s">
        <v>150</v>
      </c>
      <c r="C14" s="135"/>
      <c r="D14" s="136">
        <f>D13*-0.005</f>
        <v>-122719.465</v>
      </c>
      <c r="F14" s="184"/>
    </row>
    <row r="15" spans="1:6" ht="17.25" x14ac:dyDescent="0.45">
      <c r="A15" s="134"/>
      <c r="B15" s="135" t="s">
        <v>111</v>
      </c>
      <c r="C15" s="135"/>
      <c r="D15" s="139">
        <v>1768621</v>
      </c>
    </row>
    <row r="16" spans="1:6" ht="17.25" x14ac:dyDescent="0.45">
      <c r="A16" s="134"/>
      <c r="B16" s="135" t="s">
        <v>112</v>
      </c>
      <c r="C16" s="135"/>
      <c r="D16" s="185">
        <f>SUM(D13:D15)</f>
        <v>26189794.535</v>
      </c>
    </row>
    <row r="17" spans="1:7" ht="20.2" customHeight="1" x14ac:dyDescent="0.45">
      <c r="A17" s="134"/>
      <c r="B17" s="135"/>
      <c r="C17" s="135"/>
      <c r="D17" s="136"/>
    </row>
    <row r="18" spans="1:7" ht="17.649999999999999" x14ac:dyDescent="0.5">
      <c r="A18" s="142" t="s">
        <v>114</v>
      </c>
      <c r="B18" s="138"/>
      <c r="C18" s="138"/>
      <c r="D18" s="136"/>
      <c r="F18" t="s">
        <v>165</v>
      </c>
    </row>
    <row r="19" spans="1:7" ht="17.25" x14ac:dyDescent="0.45">
      <c r="A19" s="143"/>
      <c r="B19" s="138" t="s">
        <v>149</v>
      </c>
      <c r="C19" s="138"/>
      <c r="D19" s="247">
        <v>10000000</v>
      </c>
      <c r="F19" s="184">
        <f>D19/1000</f>
        <v>10000</v>
      </c>
    </row>
    <row r="20" spans="1:7" ht="17.25" x14ac:dyDescent="0.45">
      <c r="A20" s="143"/>
      <c r="B20" s="138" t="s">
        <v>112</v>
      </c>
      <c r="C20" s="138"/>
      <c r="D20" s="136">
        <f>D19</f>
        <v>10000000</v>
      </c>
    </row>
    <row r="21" spans="1:7" ht="20.2" customHeight="1" x14ac:dyDescent="0.45">
      <c r="A21" s="144"/>
      <c r="B21" s="138"/>
      <c r="C21" s="138"/>
      <c r="D21" s="136"/>
    </row>
    <row r="22" spans="1:7" ht="17.649999999999999" x14ac:dyDescent="0.5">
      <c r="A22" s="145" t="s">
        <v>115</v>
      </c>
      <c r="B22" s="138"/>
      <c r="C22" s="138"/>
      <c r="D22" s="146"/>
      <c r="F22" t="s">
        <v>208</v>
      </c>
    </row>
    <row r="23" spans="1:7" ht="17.25" x14ac:dyDescent="0.45">
      <c r="A23" s="144"/>
      <c r="B23" s="138" t="s">
        <v>149</v>
      </c>
      <c r="C23" s="138"/>
      <c r="D23" s="246">
        <v>4929452499</v>
      </c>
      <c r="F23" s="184">
        <f>ROUND(SUM(D23,D26,D33)/1000,0)</f>
        <v>4937452</v>
      </c>
    </row>
    <row r="24" spans="1:7" ht="17.25" x14ac:dyDescent="0.45">
      <c r="A24" s="144"/>
      <c r="B24" s="278" t="s">
        <v>151</v>
      </c>
      <c r="C24" s="279"/>
      <c r="D24" s="136">
        <f>D23*-0.0075</f>
        <v>-36970893.7425</v>
      </c>
    </row>
    <row r="25" spans="1:7" ht="17.25" x14ac:dyDescent="0.45">
      <c r="A25" s="144"/>
      <c r="B25" s="138" t="s">
        <v>152</v>
      </c>
      <c r="C25" s="147"/>
      <c r="D25" s="136">
        <v>-24647262</v>
      </c>
    </row>
    <row r="26" spans="1:7" ht="17.25" x14ac:dyDescent="0.45">
      <c r="A26" s="144"/>
      <c r="B26" s="138" t="s">
        <v>153</v>
      </c>
      <c r="C26" s="147"/>
      <c r="D26" s="246">
        <v>-30000000</v>
      </c>
      <c r="F26" t="s">
        <v>171</v>
      </c>
    </row>
    <row r="27" spans="1:7" ht="17.55" customHeight="1" x14ac:dyDescent="0.45">
      <c r="A27" s="144"/>
      <c r="B27" s="138" t="s">
        <v>120</v>
      </c>
      <c r="C27" s="138"/>
      <c r="D27" s="248">
        <v>214889744</v>
      </c>
      <c r="E27" s="184"/>
      <c r="F27" s="232">
        <f>ROUND(SUM(D27:D28,D54)/1000,0)</f>
        <v>610033</v>
      </c>
      <c r="G27" s="186"/>
    </row>
    <row r="28" spans="1:7" ht="17.25" x14ac:dyDescent="0.45">
      <c r="A28" s="144"/>
      <c r="B28" s="138" t="s">
        <v>119</v>
      </c>
      <c r="C28" s="138"/>
      <c r="D28" s="247">
        <f>269364074+40000000</f>
        <v>309364074</v>
      </c>
      <c r="G28" s="187"/>
    </row>
    <row r="29" spans="1:7" ht="17.25" x14ac:dyDescent="0.45">
      <c r="A29" s="144"/>
      <c r="B29" s="138" t="s">
        <v>111</v>
      </c>
      <c r="C29" s="138"/>
      <c r="D29" s="141">
        <v>13171121</v>
      </c>
    </row>
    <row r="30" spans="1:7" ht="17.25" x14ac:dyDescent="0.45">
      <c r="A30" s="144"/>
      <c r="B30" s="138" t="s">
        <v>112</v>
      </c>
      <c r="C30" s="138"/>
      <c r="D30" s="136">
        <f>SUM(D23:D29)</f>
        <v>5375259282.2574997</v>
      </c>
    </row>
    <row r="31" spans="1:7" ht="17.25" x14ac:dyDescent="0.45">
      <c r="A31" s="144"/>
      <c r="B31" s="138"/>
      <c r="C31" s="138"/>
      <c r="D31" s="136"/>
    </row>
    <row r="32" spans="1:7" ht="17.649999999999999" x14ac:dyDescent="0.5">
      <c r="A32" s="145" t="s">
        <v>121</v>
      </c>
      <c r="B32" s="138"/>
      <c r="C32" s="138"/>
      <c r="D32" s="136"/>
    </row>
    <row r="33" spans="1:7" ht="17.25" x14ac:dyDescent="0.45">
      <c r="A33" s="144"/>
      <c r="B33" s="138" t="s">
        <v>149</v>
      </c>
      <c r="C33" s="138"/>
      <c r="D33" s="247">
        <v>38000000</v>
      </c>
      <c r="F33" s="184"/>
      <c r="G33" s="188"/>
    </row>
    <row r="34" spans="1:7" ht="17.25" x14ac:dyDescent="0.45">
      <c r="A34" s="144"/>
      <c r="B34" s="138" t="s">
        <v>112</v>
      </c>
      <c r="C34" s="138"/>
      <c r="D34" s="136">
        <f>D33</f>
        <v>38000000</v>
      </c>
    </row>
    <row r="35" spans="1:7" ht="17.25" x14ac:dyDescent="0.45">
      <c r="A35" s="144"/>
      <c r="B35" s="138"/>
      <c r="C35" s="138"/>
      <c r="D35" s="136"/>
    </row>
    <row r="36" spans="1:7" ht="17.649999999999999" x14ac:dyDescent="0.5">
      <c r="A36" s="145" t="s">
        <v>122</v>
      </c>
      <c r="B36" s="138"/>
      <c r="C36" s="138"/>
      <c r="D36" s="136"/>
    </row>
    <row r="37" spans="1:7" ht="17.25" x14ac:dyDescent="0.45">
      <c r="A37" s="144"/>
      <c r="B37" s="138" t="s">
        <v>149</v>
      </c>
      <c r="C37" s="138"/>
      <c r="D37" s="136">
        <v>24647262</v>
      </c>
    </row>
    <row r="38" spans="1:7" ht="17.25" x14ac:dyDescent="0.45">
      <c r="A38" s="144"/>
      <c r="B38" s="138" t="s">
        <v>111</v>
      </c>
      <c r="C38" s="138"/>
      <c r="D38" s="141">
        <v>4281232</v>
      </c>
      <c r="E38" s="189"/>
      <c r="F38" s="184"/>
    </row>
    <row r="39" spans="1:7" ht="17.25" x14ac:dyDescent="0.45">
      <c r="A39" s="144"/>
      <c r="B39" s="138" t="s">
        <v>112</v>
      </c>
      <c r="C39" s="138"/>
      <c r="D39" s="136">
        <f>SUM(D37:D38)</f>
        <v>28928494</v>
      </c>
      <c r="E39" s="149"/>
    </row>
    <row r="40" spans="1:7" ht="20.2" customHeight="1" x14ac:dyDescent="0.45">
      <c r="A40" s="144"/>
      <c r="B40" s="138"/>
      <c r="C40" s="138"/>
      <c r="D40" s="136"/>
      <c r="E40" s="149"/>
    </row>
    <row r="41" spans="1:7" ht="17.649999999999999" x14ac:dyDescent="0.5">
      <c r="A41" s="280" t="s">
        <v>123</v>
      </c>
      <c r="B41" s="281"/>
      <c r="C41" s="281"/>
      <c r="D41" s="148"/>
      <c r="E41" s="149"/>
      <c r="F41" t="s">
        <v>164</v>
      </c>
    </row>
    <row r="42" spans="1:7" ht="20.2" customHeight="1" x14ac:dyDescent="0.45">
      <c r="A42" s="144"/>
      <c r="B42" s="138" t="s">
        <v>149</v>
      </c>
      <c r="C42" s="138"/>
      <c r="D42" s="246">
        <v>285574688</v>
      </c>
      <c r="E42" s="149"/>
      <c r="F42" s="184">
        <f>ROUND(D42/1000,0)</f>
        <v>285575</v>
      </c>
    </row>
    <row r="43" spans="1:7" ht="20.2" customHeight="1" x14ac:dyDescent="0.45">
      <c r="A43" s="144"/>
      <c r="B43" s="138" t="s">
        <v>154</v>
      </c>
      <c r="C43" s="138"/>
      <c r="D43" s="136">
        <f>D42*-0.005</f>
        <v>-1427873.44</v>
      </c>
      <c r="E43" s="149"/>
      <c r="F43" s="184"/>
    </row>
    <row r="44" spans="1:7" ht="20.2" customHeight="1" x14ac:dyDescent="0.45">
      <c r="A44" s="144"/>
      <c r="B44" s="138" t="s">
        <v>111</v>
      </c>
      <c r="C44" s="138"/>
      <c r="D44" s="141">
        <v>8774766</v>
      </c>
    </row>
    <row r="45" spans="1:7" ht="20.2" customHeight="1" x14ac:dyDescent="0.45">
      <c r="A45" s="144"/>
      <c r="B45" s="138" t="s">
        <v>112</v>
      </c>
      <c r="C45" s="138"/>
      <c r="D45" s="136">
        <f>SUM(D42:D44)</f>
        <v>292921580.56</v>
      </c>
    </row>
    <row r="46" spans="1:7" s="149" customFormat="1" ht="20.2" customHeight="1" x14ac:dyDescent="0.45">
      <c r="A46" s="190"/>
      <c r="B46" s="191"/>
      <c r="C46" s="191"/>
      <c r="D46" s="192"/>
    </row>
    <row r="47" spans="1:7" s="149" customFormat="1" ht="17.649999999999999" x14ac:dyDescent="0.5">
      <c r="A47" s="282" t="s">
        <v>90</v>
      </c>
      <c r="B47" s="283"/>
      <c r="C47" s="283"/>
      <c r="D47" s="192"/>
    </row>
    <row r="48" spans="1:7" s="149" customFormat="1" ht="20.2" customHeight="1" x14ac:dyDescent="0.45">
      <c r="A48" s="190"/>
      <c r="B48" s="191" t="s">
        <v>149</v>
      </c>
      <c r="C48" s="191"/>
      <c r="D48" s="249">
        <v>3500000</v>
      </c>
      <c r="F48" s="149" t="s">
        <v>168</v>
      </c>
    </row>
    <row r="49" spans="1:7" s="149" customFormat="1" ht="20.2" customHeight="1" x14ac:dyDescent="0.45">
      <c r="A49" s="190"/>
      <c r="B49" s="191" t="s">
        <v>112</v>
      </c>
      <c r="C49" s="191"/>
      <c r="D49" s="193">
        <f>D48</f>
        <v>3500000</v>
      </c>
      <c r="F49" s="230">
        <f>ROUND(SUM(D48,D77,D81,D85)/1000,0)</f>
        <v>33500</v>
      </c>
    </row>
    <row r="50" spans="1:7" s="149" customFormat="1" ht="20.2" customHeight="1" x14ac:dyDescent="0.45">
      <c r="A50" s="190"/>
      <c r="B50" s="191"/>
      <c r="C50" s="191"/>
      <c r="D50" s="192"/>
    </row>
    <row r="51" spans="1:7" s="149" customFormat="1" ht="17.649999999999999" x14ac:dyDescent="0.5">
      <c r="A51" s="194" t="s">
        <v>125</v>
      </c>
      <c r="B51" s="191"/>
      <c r="C51" s="191"/>
      <c r="D51" s="195"/>
      <c r="F51" s="149" t="s">
        <v>214</v>
      </c>
    </row>
    <row r="52" spans="1:7" ht="17.25" x14ac:dyDescent="0.45">
      <c r="A52" s="144"/>
      <c r="B52" s="138" t="s">
        <v>149</v>
      </c>
      <c r="C52" s="138"/>
      <c r="D52" s="246">
        <v>644033664</v>
      </c>
      <c r="E52" s="149"/>
      <c r="F52" s="184">
        <f>ROUND(SUM(D52,D59,D64,D69,D73)/1000,0)</f>
        <v>713300</v>
      </c>
      <c r="G52" s="188"/>
    </row>
    <row r="53" spans="1:7" ht="17.25" x14ac:dyDescent="0.45">
      <c r="A53" s="144"/>
      <c r="B53" s="138" t="s">
        <v>154</v>
      </c>
      <c r="C53" s="138"/>
      <c r="D53" s="136">
        <f>-3366498-200000</f>
        <v>-3566498</v>
      </c>
      <c r="E53" s="149"/>
      <c r="F53" s="149"/>
      <c r="G53" s="188"/>
    </row>
    <row r="54" spans="1:7" ht="17.25" x14ac:dyDescent="0.45">
      <c r="A54" s="144"/>
      <c r="B54" s="138" t="s">
        <v>120</v>
      </c>
      <c r="C54" s="138"/>
      <c r="D54" s="246">
        <v>85779099</v>
      </c>
      <c r="E54" s="149"/>
      <c r="F54" s="149"/>
    </row>
    <row r="55" spans="1:7" ht="17.25" x14ac:dyDescent="0.45">
      <c r="A55" s="144"/>
      <c r="B55" s="138" t="s">
        <v>111</v>
      </c>
      <c r="C55" s="138"/>
      <c r="D55" s="136">
        <v>2488030</v>
      </c>
      <c r="E55" s="149"/>
    </row>
    <row r="56" spans="1:7" ht="17.25" x14ac:dyDescent="0.45">
      <c r="A56" s="144"/>
      <c r="B56" s="138" t="s">
        <v>112</v>
      </c>
      <c r="C56" s="138"/>
      <c r="D56" s="196">
        <f>SUM(D52:D55)</f>
        <v>728734295</v>
      </c>
      <c r="E56" s="149"/>
    </row>
    <row r="57" spans="1:7" ht="17.25" x14ac:dyDescent="0.45">
      <c r="A57" s="144"/>
      <c r="B57" s="138"/>
      <c r="C57" s="138"/>
      <c r="D57" s="146"/>
      <c r="E57" s="149"/>
      <c r="F57" s="149"/>
    </row>
    <row r="58" spans="1:7" ht="22.5" customHeight="1" x14ac:dyDescent="0.5">
      <c r="A58" s="145" t="s">
        <v>126</v>
      </c>
      <c r="B58" s="138"/>
      <c r="C58" s="138"/>
      <c r="D58" s="152"/>
      <c r="E58" s="149"/>
      <c r="F58" s="149"/>
    </row>
    <row r="59" spans="1:7" ht="17.25" x14ac:dyDescent="0.45">
      <c r="A59" s="144"/>
      <c r="B59" s="138" t="s">
        <v>149</v>
      </c>
      <c r="C59" s="138"/>
      <c r="D59" s="246">
        <f>13465993+800000</f>
        <v>14265993</v>
      </c>
      <c r="E59" s="149"/>
      <c r="F59" s="230"/>
      <c r="G59" s="188"/>
    </row>
    <row r="60" spans="1:7" ht="17.25" x14ac:dyDescent="0.45">
      <c r="A60" s="144"/>
      <c r="B60" s="138" t="s">
        <v>127</v>
      </c>
      <c r="C60" s="138"/>
      <c r="D60" s="137">
        <f>-2019899-120000</f>
        <v>-2139899</v>
      </c>
      <c r="E60" s="197"/>
      <c r="F60" s="149"/>
      <c r="G60" s="188"/>
    </row>
    <row r="61" spans="1:7" ht="17.25" x14ac:dyDescent="0.45">
      <c r="A61" s="144"/>
      <c r="B61" s="138" t="s">
        <v>112</v>
      </c>
      <c r="C61" s="138"/>
      <c r="D61" s="185">
        <f>SUM(D59:D60)</f>
        <v>12126094</v>
      </c>
      <c r="E61" s="149"/>
      <c r="F61" s="149"/>
    </row>
    <row r="62" spans="1:7" ht="17.25" x14ac:dyDescent="0.45">
      <c r="A62" s="144"/>
      <c r="B62" s="138"/>
      <c r="C62" s="138"/>
      <c r="D62" s="146"/>
      <c r="E62" s="149"/>
      <c r="F62" s="149"/>
    </row>
    <row r="63" spans="1:7" ht="15.75" customHeight="1" x14ac:dyDescent="0.5">
      <c r="A63" s="145" t="s">
        <v>128</v>
      </c>
      <c r="B63" s="198"/>
      <c r="C63" s="198"/>
      <c r="D63" s="152"/>
      <c r="E63" s="149"/>
    </row>
    <row r="64" spans="1:7" ht="18" customHeight="1" x14ac:dyDescent="0.45">
      <c r="A64" s="144"/>
      <c r="B64" s="138" t="s">
        <v>149</v>
      </c>
      <c r="C64" s="138"/>
      <c r="D64" s="246">
        <v>30000000</v>
      </c>
      <c r="E64" s="149"/>
      <c r="F64" s="232"/>
    </row>
    <row r="65" spans="1:6" ht="18" customHeight="1" x14ac:dyDescent="0.45">
      <c r="A65" s="144"/>
      <c r="B65" s="138" t="s">
        <v>111</v>
      </c>
      <c r="C65" s="138"/>
      <c r="D65" s="136">
        <v>766775</v>
      </c>
    </row>
    <row r="66" spans="1:6" ht="17.25" x14ac:dyDescent="0.45">
      <c r="A66" s="144"/>
      <c r="B66" s="138" t="s">
        <v>112</v>
      </c>
      <c r="C66" s="138"/>
      <c r="D66" s="196">
        <f>SUM(D64:D65)</f>
        <v>30766775</v>
      </c>
    </row>
    <row r="67" spans="1:6" ht="17.25" x14ac:dyDescent="0.45">
      <c r="A67" s="144"/>
      <c r="B67" s="138"/>
      <c r="C67" s="138"/>
      <c r="D67" s="136"/>
    </row>
    <row r="68" spans="1:6" ht="17.649999999999999" x14ac:dyDescent="0.5">
      <c r="A68" s="145" t="s">
        <v>129</v>
      </c>
      <c r="B68" s="198"/>
      <c r="C68" s="198"/>
      <c r="D68" s="136"/>
    </row>
    <row r="69" spans="1:6" ht="17.25" x14ac:dyDescent="0.45">
      <c r="A69" s="144"/>
      <c r="B69" s="138" t="s">
        <v>149</v>
      </c>
      <c r="C69" s="138"/>
      <c r="D69" s="247">
        <v>5000000</v>
      </c>
    </row>
    <row r="70" spans="1:6" ht="17.649999999999999" x14ac:dyDescent="0.5">
      <c r="A70" s="144"/>
      <c r="B70" s="138" t="s">
        <v>112</v>
      </c>
      <c r="C70" s="153"/>
      <c r="D70" s="137">
        <f>D69</f>
        <v>5000000</v>
      </c>
    </row>
    <row r="71" spans="1:6" ht="17.25" x14ac:dyDescent="0.45">
      <c r="A71" s="144"/>
      <c r="B71" s="138"/>
      <c r="C71" s="138"/>
      <c r="D71" s="136"/>
    </row>
    <row r="72" spans="1:6" ht="17.649999999999999" x14ac:dyDescent="0.5">
      <c r="A72" s="145" t="s">
        <v>130</v>
      </c>
      <c r="B72" s="198"/>
      <c r="C72" s="198"/>
      <c r="D72" s="136"/>
    </row>
    <row r="73" spans="1:6" ht="17.25" x14ac:dyDescent="0.45">
      <c r="A73" s="144"/>
      <c r="B73" s="138" t="s">
        <v>149</v>
      </c>
      <c r="C73" s="138"/>
      <c r="D73" s="247">
        <v>20000000</v>
      </c>
      <c r="F73" s="184"/>
    </row>
    <row r="74" spans="1:6" ht="20.2" customHeight="1" x14ac:dyDescent="0.45">
      <c r="A74" s="144"/>
      <c r="B74" s="138" t="s">
        <v>131</v>
      </c>
      <c r="C74" s="138"/>
      <c r="D74" s="136">
        <f>SUM(D73:D73)</f>
        <v>20000000</v>
      </c>
    </row>
    <row r="75" spans="1:6" ht="20.2" customHeight="1" x14ac:dyDescent="0.45">
      <c r="A75" s="190"/>
      <c r="B75" s="191"/>
      <c r="C75" s="191"/>
      <c r="D75" s="192"/>
    </row>
    <row r="76" spans="1:6" ht="20.2" customHeight="1" x14ac:dyDescent="0.5">
      <c r="A76" s="194" t="s">
        <v>95</v>
      </c>
      <c r="B76" s="199"/>
      <c r="C76" s="199"/>
      <c r="D76" s="195"/>
    </row>
    <row r="77" spans="1:6" ht="20.2" customHeight="1" x14ac:dyDescent="0.45">
      <c r="A77" s="190"/>
      <c r="B77" s="191" t="s">
        <v>149</v>
      </c>
      <c r="C77" s="191"/>
      <c r="D77" s="249">
        <v>22000000</v>
      </c>
    </row>
    <row r="78" spans="1:6" ht="20.2" customHeight="1" x14ac:dyDescent="0.45">
      <c r="A78" s="190"/>
      <c r="B78" s="191" t="s">
        <v>131</v>
      </c>
      <c r="C78" s="191"/>
      <c r="D78" s="193">
        <f>SUM(D77:D77)</f>
        <v>22000000</v>
      </c>
    </row>
    <row r="79" spans="1:6" ht="20.2" customHeight="1" x14ac:dyDescent="0.45">
      <c r="A79" s="190"/>
      <c r="B79" s="191"/>
      <c r="C79" s="191"/>
      <c r="D79" s="193"/>
    </row>
    <row r="80" spans="1:6" ht="20.2" customHeight="1" x14ac:dyDescent="0.5">
      <c r="A80" s="194" t="s">
        <v>100</v>
      </c>
      <c r="B80" s="200"/>
      <c r="C80" s="200"/>
      <c r="D80" s="192"/>
    </row>
    <row r="81" spans="1:6" ht="17.649999999999999" x14ac:dyDescent="0.5">
      <c r="A81" s="194"/>
      <c r="B81" s="138" t="s">
        <v>149</v>
      </c>
      <c r="C81" s="199"/>
      <c r="D81" s="249">
        <v>3000000</v>
      </c>
    </row>
    <row r="82" spans="1:6" ht="20.2" customHeight="1" x14ac:dyDescent="0.45">
      <c r="A82" s="190"/>
      <c r="B82" s="138" t="s">
        <v>131</v>
      </c>
      <c r="C82" s="191"/>
      <c r="D82" s="193">
        <f>SUM(D81:D81)</f>
        <v>3000000</v>
      </c>
    </row>
    <row r="83" spans="1:6" ht="20.2" customHeight="1" x14ac:dyDescent="0.45">
      <c r="A83" s="190"/>
      <c r="B83" s="191"/>
      <c r="C83" s="191"/>
      <c r="D83" s="192"/>
    </row>
    <row r="84" spans="1:6" ht="20.2" customHeight="1" x14ac:dyDescent="0.5">
      <c r="A84" s="194" t="s">
        <v>101</v>
      </c>
      <c r="B84" s="200"/>
      <c r="C84" s="200"/>
      <c r="D84" s="192"/>
    </row>
    <row r="85" spans="1:6" ht="17.649999999999999" x14ac:dyDescent="0.5">
      <c r="A85" s="194"/>
      <c r="B85" s="138" t="s">
        <v>149</v>
      </c>
      <c r="C85" s="199"/>
      <c r="D85" s="249">
        <v>5000000</v>
      </c>
    </row>
    <row r="86" spans="1:6" ht="20.2" customHeight="1" x14ac:dyDescent="0.45">
      <c r="A86" s="190"/>
      <c r="B86" s="138" t="s">
        <v>131</v>
      </c>
      <c r="C86" s="191"/>
      <c r="D86" s="193">
        <f>SUM(D85:D85)</f>
        <v>5000000</v>
      </c>
    </row>
    <row r="87" spans="1:6" ht="20.2" customHeight="1" x14ac:dyDescent="0.45">
      <c r="A87" s="190"/>
      <c r="B87" s="191"/>
      <c r="C87" s="191"/>
      <c r="D87" s="192"/>
    </row>
    <row r="88" spans="1:6" ht="20.2" customHeight="1" x14ac:dyDescent="0.5">
      <c r="A88" s="194" t="s">
        <v>133</v>
      </c>
      <c r="B88" s="199"/>
      <c r="C88" s="199"/>
      <c r="D88" s="192"/>
      <c r="F88" t="s">
        <v>198</v>
      </c>
    </row>
    <row r="89" spans="1:6" ht="20.2" customHeight="1" x14ac:dyDescent="0.45">
      <c r="A89" s="190"/>
      <c r="B89" s="191" t="s">
        <v>149</v>
      </c>
      <c r="C89" s="191"/>
      <c r="D89" s="249">
        <v>16500000</v>
      </c>
      <c r="F89" s="184">
        <f>D89/1000</f>
        <v>16500</v>
      </c>
    </row>
    <row r="90" spans="1:6" ht="20.2" customHeight="1" x14ac:dyDescent="0.45">
      <c r="A90" s="190"/>
      <c r="B90" s="191" t="s">
        <v>131</v>
      </c>
      <c r="C90" s="191"/>
      <c r="D90" s="193">
        <f>SUM(D89:D89)</f>
        <v>16500000</v>
      </c>
    </row>
    <row r="91" spans="1:6" ht="20.2" customHeight="1" x14ac:dyDescent="0.45">
      <c r="A91" s="190"/>
      <c r="B91" s="191"/>
      <c r="C91" s="191"/>
      <c r="D91" s="192"/>
    </row>
    <row r="92" spans="1:6" ht="20.2" customHeight="1" x14ac:dyDescent="0.5">
      <c r="A92" s="194" t="s">
        <v>134</v>
      </c>
      <c r="B92" s="201"/>
      <c r="C92" s="201"/>
      <c r="D92" s="202"/>
    </row>
    <row r="93" spans="1:6" ht="21.75" customHeight="1" x14ac:dyDescent="0.5">
      <c r="A93" s="145"/>
      <c r="B93" s="138" t="s">
        <v>149</v>
      </c>
      <c r="C93" s="156"/>
      <c r="D93" s="246">
        <f>2683798369+40000000</f>
        <v>2723798369</v>
      </c>
    </row>
    <row r="94" spans="1:6" ht="17.25" x14ac:dyDescent="0.45">
      <c r="A94" s="144"/>
      <c r="B94" s="138" t="s">
        <v>155</v>
      </c>
      <c r="C94" s="138"/>
      <c r="D94" s="136">
        <f>D93*-1%</f>
        <v>-27237983.690000001</v>
      </c>
    </row>
    <row r="95" spans="1:6" ht="17.25" x14ac:dyDescent="0.45">
      <c r="A95" s="144"/>
      <c r="B95" s="138" t="s">
        <v>111</v>
      </c>
      <c r="C95" s="138"/>
      <c r="D95" s="136">
        <v>13308098</v>
      </c>
    </row>
    <row r="96" spans="1:6" ht="17.25" x14ac:dyDescent="0.45">
      <c r="A96" s="144"/>
      <c r="B96" s="138" t="s">
        <v>156</v>
      </c>
      <c r="C96" s="138"/>
      <c r="D96" s="136">
        <v>2632637232</v>
      </c>
      <c r="E96" s="184"/>
    </row>
    <row r="97" spans="1:6" ht="17.25" x14ac:dyDescent="0.45">
      <c r="A97" s="144"/>
      <c r="B97" s="284" t="s">
        <v>157</v>
      </c>
      <c r="C97" s="281"/>
      <c r="D97" s="141">
        <v>77231252</v>
      </c>
      <c r="E97" s="184"/>
      <c r="F97" t="s">
        <v>8</v>
      </c>
    </row>
    <row r="98" spans="1:6" ht="20.25" customHeight="1" x14ac:dyDescent="0.45">
      <c r="A98" s="144"/>
      <c r="B98" s="138" t="s">
        <v>112</v>
      </c>
      <c r="C98" s="138"/>
      <c r="D98" s="136">
        <f>SUM(D96:D97)</f>
        <v>2709868484</v>
      </c>
      <c r="E98" s="184"/>
      <c r="F98" s="184">
        <f>ROUND(SUM(D93,D101,D123,D107)/1000,0)</f>
        <v>5914452</v>
      </c>
    </row>
    <row r="99" spans="1:6" ht="17.25" x14ac:dyDescent="0.45">
      <c r="A99" s="144"/>
      <c r="B99" s="138"/>
      <c r="C99" s="138"/>
      <c r="D99" s="136"/>
    </row>
    <row r="100" spans="1:6" ht="15.75" customHeight="1" x14ac:dyDescent="0.5">
      <c r="A100" s="145" t="s">
        <v>138</v>
      </c>
      <c r="B100" s="138"/>
      <c r="C100" s="138"/>
      <c r="D100" s="146"/>
    </row>
    <row r="101" spans="1:6" ht="19.5" customHeight="1" x14ac:dyDescent="0.45">
      <c r="A101" s="144"/>
      <c r="B101" s="138" t="s">
        <v>149</v>
      </c>
      <c r="C101" s="138"/>
      <c r="D101" s="246">
        <f>582609736</f>
        <v>582609736</v>
      </c>
    </row>
    <row r="102" spans="1:6" ht="17.25" x14ac:dyDescent="0.45">
      <c r="A102" s="144"/>
      <c r="B102" s="138" t="s">
        <v>151</v>
      </c>
      <c r="C102" s="138"/>
      <c r="D102" s="136">
        <f>D101*-0.0075</f>
        <v>-4369573.0199999996</v>
      </c>
    </row>
    <row r="103" spans="1:6" ht="17.25" x14ac:dyDescent="0.45">
      <c r="A103" s="144"/>
      <c r="B103" s="138" t="s">
        <v>111</v>
      </c>
      <c r="C103" s="138"/>
      <c r="D103" s="141">
        <v>14628592</v>
      </c>
      <c r="E103" s="188"/>
    </row>
    <row r="104" spans="1:6" ht="17.25" x14ac:dyDescent="0.45">
      <c r="A104" s="144"/>
      <c r="B104" s="138" t="s">
        <v>112</v>
      </c>
      <c r="C104" s="138"/>
      <c r="D104" s="136">
        <f>SUM(D101:D103)</f>
        <v>592868754.98000002</v>
      </c>
    </row>
    <row r="105" spans="1:6" ht="17.25" x14ac:dyDescent="0.45">
      <c r="A105" s="203"/>
      <c r="B105" s="204"/>
      <c r="C105" s="204"/>
      <c r="D105" s="195"/>
    </row>
    <row r="106" spans="1:6" ht="17.649999999999999" x14ac:dyDescent="0.5">
      <c r="A106" s="205" t="s">
        <v>139</v>
      </c>
      <c r="B106" s="206"/>
      <c r="C106" s="206"/>
      <c r="D106" s="207"/>
    </row>
    <row r="107" spans="1:6" ht="17.25" x14ac:dyDescent="0.45">
      <c r="A107" s="190"/>
      <c r="B107" s="191" t="s">
        <v>149</v>
      </c>
      <c r="C107" s="208"/>
      <c r="D107" s="250">
        <v>594044179</v>
      </c>
    </row>
    <row r="108" spans="1:6" ht="17.25" x14ac:dyDescent="0.45">
      <c r="A108" s="190"/>
      <c r="B108" s="191" t="s">
        <v>151</v>
      </c>
      <c r="C108" s="208"/>
      <c r="D108" s="168">
        <f>D107*-0.0075</f>
        <v>-4455331.3425000003</v>
      </c>
    </row>
    <row r="109" spans="1:6" ht="17.25" x14ac:dyDescent="0.45">
      <c r="A109" s="190"/>
      <c r="B109" s="138" t="s">
        <v>140</v>
      </c>
      <c r="C109" s="208"/>
      <c r="D109" s="209">
        <v>-180000000</v>
      </c>
    </row>
    <row r="110" spans="1:6" ht="17.25" x14ac:dyDescent="0.45">
      <c r="A110" s="190"/>
      <c r="B110" s="191" t="s">
        <v>112</v>
      </c>
      <c r="C110" s="208"/>
      <c r="D110" s="210">
        <f>SUM(D107:D109)</f>
        <v>409588847.65750003</v>
      </c>
    </row>
    <row r="111" spans="1:6" ht="17.25" x14ac:dyDescent="0.45">
      <c r="A111" s="211"/>
      <c r="B111" s="212"/>
      <c r="C111" s="213"/>
      <c r="D111" s="214"/>
    </row>
    <row r="112" spans="1:6" ht="17.649999999999999" x14ac:dyDescent="0.5">
      <c r="A112" s="194" t="s">
        <v>141</v>
      </c>
      <c r="B112" s="215"/>
      <c r="C112" s="215"/>
      <c r="D112" s="214"/>
    </row>
    <row r="113" spans="1:6" ht="17.25" x14ac:dyDescent="0.45">
      <c r="A113" s="211"/>
      <c r="B113" s="191" t="s">
        <v>149</v>
      </c>
      <c r="C113" s="212"/>
      <c r="D113" s="216">
        <v>180000000</v>
      </c>
    </row>
    <row r="114" spans="1:6" ht="17.25" x14ac:dyDescent="0.45">
      <c r="A114" s="211"/>
      <c r="B114" s="191" t="s">
        <v>131</v>
      </c>
      <c r="C114" s="212"/>
      <c r="D114" s="217">
        <f>D113</f>
        <v>180000000</v>
      </c>
    </row>
    <row r="115" spans="1:6" ht="17.25" x14ac:dyDescent="0.45">
      <c r="A115" s="211"/>
      <c r="B115" s="212"/>
      <c r="C115" s="212"/>
      <c r="D115" s="137"/>
    </row>
    <row r="116" spans="1:6" ht="17.649999999999999" x14ac:dyDescent="0.5">
      <c r="A116" s="218" t="s">
        <v>142</v>
      </c>
      <c r="B116" s="219"/>
      <c r="C116" s="220"/>
      <c r="D116" s="161"/>
      <c r="F116" t="s">
        <v>199</v>
      </c>
    </row>
    <row r="117" spans="1:6" ht="17.25" x14ac:dyDescent="0.45">
      <c r="A117" s="221"/>
      <c r="B117" s="222" t="s">
        <v>149</v>
      </c>
      <c r="C117" s="222"/>
      <c r="D117" s="252">
        <v>16220000</v>
      </c>
      <c r="F117" s="184">
        <f>D117/1000</f>
        <v>16220</v>
      </c>
    </row>
    <row r="118" spans="1:6" ht="17.25" x14ac:dyDescent="0.45">
      <c r="A118" s="221"/>
      <c r="B118" s="222" t="s">
        <v>112</v>
      </c>
      <c r="C118" s="222"/>
      <c r="D118" s="161">
        <f>D117</f>
        <v>16220000</v>
      </c>
    </row>
    <row r="119" spans="1:6" ht="14.65" thickBot="1" x14ac:dyDescent="0.5">
      <c r="A119" s="223"/>
      <c r="B119" s="224"/>
      <c r="C119" s="224"/>
      <c r="D119" s="225"/>
    </row>
    <row r="120" spans="1:6" ht="18" thickBot="1" x14ac:dyDescent="0.5">
      <c r="A120" s="169"/>
      <c r="B120" s="170"/>
      <c r="C120" s="170"/>
      <c r="D120" s="171"/>
    </row>
    <row r="121" spans="1:6" ht="22.5" customHeight="1" x14ac:dyDescent="0.45">
      <c r="A121" s="144"/>
      <c r="B121" s="138"/>
      <c r="C121" s="138"/>
      <c r="D121" s="146"/>
    </row>
    <row r="122" spans="1:6" ht="22.5" customHeight="1" x14ac:dyDescent="0.5">
      <c r="A122" s="145" t="s">
        <v>143</v>
      </c>
      <c r="B122" s="138"/>
      <c r="C122" s="138"/>
      <c r="D122" s="146"/>
    </row>
    <row r="123" spans="1:6" ht="17.25" x14ac:dyDescent="0.45">
      <c r="A123" s="144"/>
      <c r="B123" s="138" t="s">
        <v>149</v>
      </c>
      <c r="C123" s="138"/>
      <c r="D123" s="251">
        <v>2014000000</v>
      </c>
      <c r="F123" s="184"/>
    </row>
    <row r="124" spans="1:6" ht="17.25" x14ac:dyDescent="0.45">
      <c r="A124" s="144"/>
      <c r="B124" s="138" t="s">
        <v>158</v>
      </c>
      <c r="C124" s="138"/>
      <c r="D124" s="168">
        <v>-20000000</v>
      </c>
      <c r="F124" s="184"/>
    </row>
    <row r="125" spans="1:6" ht="17.25" x14ac:dyDescent="0.45">
      <c r="A125" s="144"/>
      <c r="B125" s="138" t="s">
        <v>112</v>
      </c>
      <c r="C125" s="138"/>
      <c r="D125" s="226">
        <f>D123+D124</f>
        <v>1994000000</v>
      </c>
    </row>
    <row r="126" spans="1:6" ht="17.649999999999999" thickBot="1" x14ac:dyDescent="0.5">
      <c r="A126" s="144"/>
      <c r="B126" s="138"/>
      <c r="C126" s="138"/>
      <c r="D126" s="146"/>
    </row>
    <row r="127" spans="1:6" ht="18" thickBot="1" x14ac:dyDescent="0.5">
      <c r="A127" s="169"/>
      <c r="B127" s="170"/>
      <c r="C127" s="170"/>
      <c r="D127" s="171"/>
    </row>
    <row r="128" spans="1:6" ht="22.5" customHeight="1" x14ac:dyDescent="0.45">
      <c r="A128" s="144"/>
      <c r="B128" s="138"/>
      <c r="C128" s="138"/>
      <c r="D128" s="146"/>
    </row>
    <row r="129" spans="1:6" ht="18" customHeight="1" x14ac:dyDescent="0.5">
      <c r="A129" s="142" t="s">
        <v>93</v>
      </c>
      <c r="B129" s="138"/>
      <c r="C129" s="138"/>
      <c r="D129" s="146"/>
      <c r="F129" t="s">
        <v>172</v>
      </c>
    </row>
    <row r="130" spans="1:6" ht="17.25" x14ac:dyDescent="0.45">
      <c r="A130" s="143"/>
      <c r="B130" s="138" t="s">
        <v>149</v>
      </c>
      <c r="C130" s="138"/>
      <c r="D130" s="253">
        <v>150000000</v>
      </c>
      <c r="F130" s="184">
        <f>D130/1000</f>
        <v>150000</v>
      </c>
    </row>
    <row r="131" spans="1:6" ht="17.25" customHeight="1" x14ac:dyDescent="0.45">
      <c r="A131" s="143"/>
      <c r="B131" s="138" t="s">
        <v>155</v>
      </c>
      <c r="C131" s="138"/>
      <c r="D131" s="167">
        <f>D130*-1%</f>
        <v>-1500000</v>
      </c>
    </row>
    <row r="132" spans="1:6" ht="17.25" x14ac:dyDescent="0.45">
      <c r="A132" s="143"/>
      <c r="B132" s="138" t="s">
        <v>112</v>
      </c>
      <c r="C132" s="138"/>
      <c r="D132" s="168">
        <f>SUM(D130:D131)</f>
        <v>148500000</v>
      </c>
    </row>
    <row r="133" spans="1:6" ht="17.649999999999999" thickBot="1" x14ac:dyDescent="0.5">
      <c r="A133" s="143"/>
      <c r="B133" s="138"/>
      <c r="C133" s="138"/>
      <c r="D133" s="146"/>
    </row>
    <row r="134" spans="1:6" ht="31.5" customHeight="1" x14ac:dyDescent="0.45">
      <c r="A134" s="227" t="s">
        <v>145</v>
      </c>
      <c r="B134" s="228"/>
      <c r="C134" s="228"/>
      <c r="D134" s="229">
        <f>+D7+D13+D19+D23+D27+D28+D42+D48+D52+D54+D59+D64+D69+D73+D77+D81+D89+D93+D101+D123+D130+D107+D85+D117+D33+D26</f>
        <v>12829068462</v>
      </c>
      <c r="E134" s="188"/>
      <c r="F134" t="s">
        <v>175</v>
      </c>
    </row>
    <row r="135" spans="1:6" ht="32.25" customHeight="1" thickBot="1" x14ac:dyDescent="0.5">
      <c r="A135" s="178" t="s">
        <v>146</v>
      </c>
      <c r="B135" s="179"/>
      <c r="C135" s="179"/>
      <c r="D135" s="180">
        <f>+D10+D16+D30+D98+D45+D56+D59+D66+D70+D74+D104+D125+D132+D20+D78+D90+D110+D49+D86+D82+D34+D114+D39+D118</f>
        <v>12788065164.369999</v>
      </c>
      <c r="F135" s="232">
        <f>ROUND(SUM(D8,D14,D24,D43,D53,D94,D102,D108,D124,D131)/1000,0)</f>
        <v>-100238</v>
      </c>
    </row>
    <row r="136" spans="1:6" ht="39.700000000000003" customHeight="1" x14ac:dyDescent="0.45">
      <c r="A136" s="181"/>
      <c r="B136" s="181"/>
      <c r="C136" s="181"/>
      <c r="D136" s="182"/>
    </row>
    <row r="137" spans="1:6" ht="39.700000000000003" customHeight="1" x14ac:dyDescent="0.45">
      <c r="A137" s="275" t="s">
        <v>223</v>
      </c>
      <c r="B137" s="276"/>
      <c r="C137" s="277"/>
      <c r="E137" s="232"/>
      <c r="F137" s="232"/>
    </row>
    <row r="138" spans="1:6" x14ac:dyDescent="0.45">
      <c r="A138" s="265" t="s">
        <v>224</v>
      </c>
      <c r="B138" s="266">
        <f>ROUND(D134/1000,0)</f>
        <v>12829068</v>
      </c>
      <c r="C138" s="264"/>
    </row>
    <row r="139" spans="1:6" ht="42.75" x14ac:dyDescent="0.45">
      <c r="A139" s="265" t="s">
        <v>226</v>
      </c>
      <c r="B139" s="266">
        <f>'2a (FY 2021)'!AA53-'2a (FY 2021)'!O53</f>
        <v>12829069</v>
      </c>
      <c r="C139" s="264"/>
      <c r="D139" s="268"/>
    </row>
    <row r="140" spans="1:6" ht="35.25" customHeight="1" x14ac:dyDescent="0.45">
      <c r="A140" s="264" t="s">
        <v>225</v>
      </c>
      <c r="B140" s="267">
        <f>B138-B139</f>
        <v>-1</v>
      </c>
      <c r="C140" s="264" t="s">
        <v>237</v>
      </c>
      <c r="E140" s="184"/>
      <c r="F140" s="232"/>
    </row>
    <row r="141" spans="1:6" ht="36.75" customHeight="1" x14ac:dyDescent="0.45"/>
    <row r="142" spans="1:6" ht="33.75" customHeight="1" x14ac:dyDescent="0.45"/>
    <row r="143" spans="1:6" ht="33.75" customHeight="1" x14ac:dyDescent="0.45"/>
    <row r="144" spans="1:6" ht="72" customHeight="1" x14ac:dyDescent="0.45"/>
    <row r="145" spans="5:5" ht="33.75" customHeight="1" x14ac:dyDescent="0.45"/>
    <row r="146" spans="5:5" ht="32.25" customHeight="1" x14ac:dyDescent="0.45">
      <c r="E146" s="184"/>
    </row>
    <row r="147" spans="5:5" ht="12" customHeight="1" x14ac:dyDescent="0.45"/>
    <row r="148" spans="5:5" ht="12" customHeight="1" x14ac:dyDescent="0.45"/>
    <row r="149" spans="5:5" ht="12" customHeight="1" x14ac:dyDescent="0.45"/>
    <row r="150" spans="5:5" ht="12" customHeight="1" x14ac:dyDescent="0.45"/>
    <row r="151" spans="5:5" ht="12" customHeight="1" x14ac:dyDescent="0.45"/>
    <row r="152" spans="5:5" ht="12" customHeight="1" x14ac:dyDescent="0.45"/>
    <row r="153" spans="5:5" ht="12" customHeight="1" x14ac:dyDescent="0.45"/>
    <row r="154" spans="5:5" ht="12" customHeight="1" x14ac:dyDescent="0.45"/>
    <row r="155" spans="5:5" ht="12" customHeight="1" x14ac:dyDescent="0.45"/>
    <row r="156" spans="5:5" ht="12" customHeight="1" x14ac:dyDescent="0.45"/>
    <row r="157" spans="5:5" ht="12" customHeight="1" x14ac:dyDescent="0.45"/>
    <row r="158" spans="5:5" ht="12" customHeight="1" x14ac:dyDescent="0.45"/>
    <row r="159" spans="5:5" ht="12" customHeight="1" x14ac:dyDescent="0.45"/>
    <row r="160" spans="5:5" ht="12" customHeight="1" x14ac:dyDescent="0.45"/>
    <row r="161" ht="12" customHeight="1" x14ac:dyDescent="0.45"/>
    <row r="162" ht="12" customHeight="1" x14ac:dyDescent="0.45"/>
    <row r="163" ht="12" customHeight="1" x14ac:dyDescent="0.45"/>
    <row r="164" ht="12" customHeight="1" x14ac:dyDescent="0.45"/>
    <row r="165" ht="12" customHeight="1" x14ac:dyDescent="0.45"/>
    <row r="166" ht="12" customHeight="1" x14ac:dyDescent="0.45"/>
    <row r="167" ht="12" customHeight="1" x14ac:dyDescent="0.45"/>
    <row r="168" ht="12" customHeight="1" x14ac:dyDescent="0.45"/>
    <row r="169" ht="12" customHeight="1" x14ac:dyDescent="0.45"/>
    <row r="170" ht="12" customHeight="1" x14ac:dyDescent="0.45"/>
    <row r="171" ht="12" customHeight="1" x14ac:dyDescent="0.45"/>
    <row r="172" ht="12" customHeight="1" x14ac:dyDescent="0.45"/>
    <row r="173" ht="12" customHeight="1" x14ac:dyDescent="0.45"/>
    <row r="174" ht="12" customHeight="1" x14ac:dyDescent="0.45"/>
    <row r="175" ht="12" customHeight="1" x14ac:dyDescent="0.45"/>
    <row r="176" ht="12" customHeight="1" x14ac:dyDescent="0.45"/>
    <row r="177" ht="12" customHeight="1" x14ac:dyDescent="0.45"/>
    <row r="178" ht="12" customHeight="1" x14ac:dyDescent="0.45"/>
    <row r="179" ht="12" customHeight="1" x14ac:dyDescent="0.45"/>
    <row r="180" ht="12" customHeight="1" x14ac:dyDescent="0.45"/>
    <row r="181" ht="12" customHeight="1" x14ac:dyDescent="0.45"/>
    <row r="182" ht="12" customHeight="1" x14ac:dyDescent="0.45"/>
    <row r="183" ht="12" customHeight="1" x14ac:dyDescent="0.45"/>
    <row r="184" ht="12" customHeight="1" x14ac:dyDescent="0.45"/>
    <row r="185" ht="12" customHeight="1" x14ac:dyDescent="0.45"/>
    <row r="186" ht="12" customHeight="1" x14ac:dyDescent="0.45"/>
    <row r="187" ht="12" customHeight="1" x14ac:dyDescent="0.45"/>
    <row r="188" ht="12" customHeight="1" x14ac:dyDescent="0.45"/>
    <row r="189" ht="12" customHeight="1" x14ac:dyDescent="0.45"/>
    <row r="190" ht="12" customHeight="1" x14ac:dyDescent="0.45"/>
    <row r="191" ht="12" customHeight="1" x14ac:dyDescent="0.45"/>
    <row r="192" ht="12" customHeight="1" x14ac:dyDescent="0.45"/>
    <row r="193" ht="12" customHeight="1" x14ac:dyDescent="0.45"/>
    <row r="194" ht="12" customHeight="1" x14ac:dyDescent="0.45"/>
    <row r="195" ht="12" customHeight="1" x14ac:dyDescent="0.45"/>
    <row r="196" ht="12" customHeight="1" x14ac:dyDescent="0.45"/>
    <row r="197" ht="12" customHeight="1" x14ac:dyDescent="0.45"/>
    <row r="198" ht="12" customHeight="1" x14ac:dyDescent="0.45"/>
    <row r="199" ht="12" customHeight="1" x14ac:dyDescent="0.45"/>
    <row r="200" ht="12" customHeight="1" x14ac:dyDescent="0.45"/>
    <row r="201" ht="12" customHeight="1" x14ac:dyDescent="0.45"/>
    <row r="202" ht="12" customHeight="1" x14ac:dyDescent="0.45"/>
    <row r="203" ht="12" customHeight="1" x14ac:dyDescent="0.45"/>
    <row r="204" ht="12" customHeight="1" x14ac:dyDescent="0.45"/>
    <row r="205" ht="12" customHeight="1" x14ac:dyDescent="0.45"/>
    <row r="206" ht="12" customHeight="1" x14ac:dyDescent="0.45"/>
    <row r="207" ht="12" customHeight="1" x14ac:dyDescent="0.45"/>
    <row r="208" ht="12" customHeight="1" x14ac:dyDescent="0.45"/>
    <row r="209" ht="12" customHeight="1" x14ac:dyDescent="0.45"/>
    <row r="210" ht="12" customHeight="1" x14ac:dyDescent="0.45"/>
    <row r="211" ht="12" customHeight="1" x14ac:dyDescent="0.45"/>
    <row r="212" ht="12" customHeight="1" x14ac:dyDescent="0.45"/>
    <row r="213" ht="12" customHeight="1" x14ac:dyDescent="0.45"/>
    <row r="214" ht="12" customHeight="1" x14ac:dyDescent="0.45"/>
    <row r="215" ht="12" customHeight="1" x14ac:dyDescent="0.45"/>
    <row r="216" ht="12" customHeight="1" x14ac:dyDescent="0.45"/>
    <row r="217" ht="12" customHeight="1" x14ac:dyDescent="0.45"/>
    <row r="218" ht="12" customHeight="1" x14ac:dyDescent="0.45"/>
    <row r="219" ht="12" customHeight="1" x14ac:dyDescent="0.45"/>
    <row r="220" ht="12" customHeight="1" x14ac:dyDescent="0.45"/>
    <row r="221" ht="12" customHeight="1" x14ac:dyDescent="0.45"/>
    <row r="222" ht="12" customHeight="1" x14ac:dyDescent="0.45"/>
    <row r="223" ht="12" customHeight="1" x14ac:dyDescent="0.45"/>
    <row r="224" ht="12" customHeight="1" x14ac:dyDescent="0.45"/>
    <row r="225" ht="12" customHeight="1" x14ac:dyDescent="0.45"/>
    <row r="226" ht="12" customHeight="1" x14ac:dyDescent="0.45"/>
    <row r="227" ht="12" customHeight="1" x14ac:dyDescent="0.45"/>
    <row r="228" ht="12" customHeight="1" x14ac:dyDescent="0.45"/>
    <row r="229" ht="12" customHeight="1" x14ac:dyDescent="0.45"/>
    <row r="230" ht="12" customHeight="1" x14ac:dyDescent="0.45"/>
    <row r="231" ht="12" customHeight="1" x14ac:dyDescent="0.45"/>
    <row r="232" ht="12" customHeight="1" x14ac:dyDescent="0.45"/>
    <row r="233" ht="12" customHeight="1" x14ac:dyDescent="0.45"/>
    <row r="234" ht="12" customHeight="1" x14ac:dyDescent="0.45"/>
    <row r="235" ht="12" customHeight="1" x14ac:dyDescent="0.45"/>
    <row r="236" ht="12" customHeight="1" x14ac:dyDescent="0.45"/>
    <row r="237" ht="12" customHeight="1" x14ac:dyDescent="0.45"/>
    <row r="238" ht="12" customHeight="1" x14ac:dyDescent="0.45"/>
    <row r="239" ht="12" customHeight="1" x14ac:dyDescent="0.45"/>
    <row r="240" ht="12" customHeight="1" x14ac:dyDescent="0.45"/>
    <row r="241" ht="12" customHeight="1" x14ac:dyDescent="0.45"/>
    <row r="242" ht="12" customHeight="1" x14ac:dyDescent="0.45"/>
    <row r="243" ht="12" customHeight="1" x14ac:dyDescent="0.45"/>
    <row r="244" ht="12" customHeight="1" x14ac:dyDescent="0.45"/>
    <row r="245" ht="12" customHeight="1" x14ac:dyDescent="0.45"/>
    <row r="246" ht="12" customHeight="1" x14ac:dyDescent="0.45"/>
    <row r="247" ht="12" customHeight="1" x14ac:dyDescent="0.45"/>
    <row r="248" ht="12" customHeight="1" x14ac:dyDescent="0.45"/>
    <row r="249" ht="12" customHeight="1" x14ac:dyDescent="0.45"/>
    <row r="250" ht="12" customHeight="1" x14ac:dyDescent="0.45"/>
    <row r="251" ht="12" customHeight="1" x14ac:dyDescent="0.45"/>
    <row r="252" ht="12" customHeight="1" x14ac:dyDescent="0.45"/>
    <row r="253" ht="12" customHeight="1" x14ac:dyDescent="0.45"/>
    <row r="254" ht="12" customHeight="1" x14ac:dyDescent="0.45"/>
    <row r="255" ht="12" customHeight="1" x14ac:dyDescent="0.45"/>
    <row r="256" ht="12" customHeight="1" x14ac:dyDescent="0.45"/>
    <row r="257" ht="12" customHeight="1" x14ac:dyDescent="0.45"/>
    <row r="258" ht="12" customHeight="1" x14ac:dyDescent="0.45"/>
    <row r="259" ht="12" customHeight="1" x14ac:dyDescent="0.45"/>
    <row r="260" ht="12" customHeight="1" x14ac:dyDescent="0.45"/>
    <row r="261" ht="12" customHeight="1" x14ac:dyDescent="0.45"/>
    <row r="262" ht="12" customHeight="1" x14ac:dyDescent="0.45"/>
  </sheetData>
  <mergeCells count="11">
    <mergeCell ref="A12:D12"/>
    <mergeCell ref="A1:D1"/>
    <mergeCell ref="A2:D2"/>
    <mergeCell ref="A3:D3"/>
    <mergeCell ref="A4:D4"/>
    <mergeCell ref="A6:D6"/>
    <mergeCell ref="A137:C137"/>
    <mergeCell ref="B24:C24"/>
    <mergeCell ref="A41:C41"/>
    <mergeCell ref="A47:C47"/>
    <mergeCell ref="B97:C97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1865-8234-4437-83F9-8DBAC16E41AD}">
  <dimension ref="A1:AC66"/>
  <sheetViews>
    <sheetView workbookViewId="0">
      <selection sqref="A1:D1"/>
    </sheetView>
  </sheetViews>
  <sheetFormatPr defaultRowHeight="14.25" x14ac:dyDescent="0.45"/>
  <cols>
    <col min="1" max="1" width="11.46484375" style="1" customWidth="1"/>
    <col min="2" max="2" width="16.265625" style="1" bestFit="1" customWidth="1"/>
    <col min="3" max="3" width="17.19921875" style="1" bestFit="1" customWidth="1"/>
    <col min="4" max="4" width="15.73046875" style="1" customWidth="1"/>
    <col min="5" max="5" width="17.265625" style="1" customWidth="1"/>
    <col min="6" max="6" width="14.265625" style="1" customWidth="1"/>
    <col min="7" max="7" width="13.265625" style="1" bestFit="1" customWidth="1"/>
    <col min="8" max="8" width="14.46484375" style="1" bestFit="1" customWidth="1"/>
    <col min="9" max="9" width="15.73046875" style="1" customWidth="1"/>
    <col min="10" max="10" width="22.19921875" style="1" customWidth="1"/>
    <col min="11" max="12" width="15.46484375" style="1" customWidth="1"/>
    <col min="13" max="13" width="15.73046875" style="1" customWidth="1"/>
    <col min="14" max="15" width="14.53125" style="1" customWidth="1"/>
    <col min="16" max="16" width="17.73046875" style="1" customWidth="1"/>
    <col min="17" max="17" width="19.19921875" style="1" customWidth="1"/>
    <col min="18" max="18" width="18.19921875" style="1" customWidth="1"/>
    <col min="19" max="19" width="12.46484375" style="1" customWidth="1"/>
    <col min="20" max="20" width="13.265625" style="1" customWidth="1"/>
    <col min="21" max="21" width="14" style="1" customWidth="1"/>
    <col min="22" max="22" width="13.53125" style="1" customWidth="1"/>
    <col min="23" max="23" width="16" style="1" bestFit="1" customWidth="1"/>
    <col min="24" max="24" width="14.73046875" style="1" customWidth="1"/>
    <col min="25" max="25" width="15.73046875" style="1" bestFit="1" customWidth="1"/>
    <col min="26" max="26" width="18.73046875" style="1" customWidth="1"/>
    <col min="27" max="27" width="15.73046875" style="1" bestFit="1" customWidth="1"/>
    <col min="28" max="28" width="3.73046875" style="1" hidden="1" customWidth="1"/>
    <col min="29" max="29" width="7.265625" style="1" customWidth="1"/>
  </cols>
  <sheetData>
    <row r="1" spans="1:29" ht="20.65" x14ac:dyDescent="0.6">
      <c r="A1" s="65" t="s">
        <v>1</v>
      </c>
      <c r="D1" s="2"/>
      <c r="E1" s="2"/>
      <c r="F1" s="2"/>
      <c r="G1" s="2"/>
      <c r="H1" s="2" t="s">
        <v>0</v>
      </c>
      <c r="J1" s="2"/>
      <c r="P1" s="269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9" ht="17.649999999999999" x14ac:dyDescent="0.5">
      <c r="D2" s="2"/>
      <c r="E2" s="2"/>
      <c r="F2" s="2"/>
      <c r="G2" s="2"/>
      <c r="H2" s="2"/>
      <c r="I2" s="2"/>
    </row>
    <row r="3" spans="1:29" ht="15.75" customHeight="1" x14ac:dyDescent="0.5">
      <c r="A3" s="271" t="s">
        <v>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1" t="s">
        <v>3</v>
      </c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</row>
    <row r="4" spans="1:29" ht="15.75" customHeight="1" x14ac:dyDescent="0.55000000000000004">
      <c r="A4" s="271" t="s">
        <v>78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1" t="s">
        <v>75</v>
      </c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</row>
    <row r="5" spans="1:29" ht="15.75" thickBot="1" x14ac:dyDescent="0.5">
      <c r="A5" s="4" t="s">
        <v>4</v>
      </c>
      <c r="H5" s="4"/>
      <c r="I5" s="4"/>
      <c r="Q5" s="5"/>
      <c r="R5" s="5"/>
    </row>
    <row r="6" spans="1:29" ht="14.65" thickTop="1" x14ac:dyDescent="0.45">
      <c r="A6" s="6"/>
      <c r="B6" s="67" t="s">
        <v>5</v>
      </c>
      <c r="C6" s="67" t="s">
        <v>5</v>
      </c>
      <c r="D6" s="67"/>
      <c r="E6" s="67"/>
      <c r="F6" s="67"/>
      <c r="G6" s="67" t="s">
        <v>6</v>
      </c>
      <c r="H6" s="67" t="s">
        <v>5</v>
      </c>
      <c r="I6" s="67"/>
      <c r="J6" s="67"/>
      <c r="K6" s="67"/>
      <c r="L6" s="67"/>
      <c r="M6" s="67"/>
      <c r="N6" s="68"/>
      <c r="O6" s="67"/>
      <c r="P6" s="69"/>
      <c r="Q6" s="67"/>
      <c r="R6" s="67"/>
      <c r="S6" s="67"/>
      <c r="T6" s="67"/>
      <c r="U6" s="67"/>
      <c r="V6" s="67"/>
      <c r="W6" s="67"/>
      <c r="X6" s="67"/>
      <c r="Y6" s="67"/>
      <c r="Z6" s="68"/>
      <c r="AA6" s="7"/>
      <c r="AC6"/>
    </row>
    <row r="7" spans="1:29" x14ac:dyDescent="0.45">
      <c r="A7" s="70" t="s">
        <v>7</v>
      </c>
      <c r="B7" s="71" t="s">
        <v>8</v>
      </c>
      <c r="C7" s="71" t="s">
        <v>9</v>
      </c>
      <c r="D7" s="72" t="s">
        <v>10</v>
      </c>
      <c r="E7" s="73" t="s">
        <v>11</v>
      </c>
      <c r="F7" s="72" t="s">
        <v>12</v>
      </c>
      <c r="G7" s="71" t="s">
        <v>13</v>
      </c>
      <c r="H7" s="71" t="s">
        <v>14</v>
      </c>
      <c r="I7" s="71" t="s">
        <v>15</v>
      </c>
      <c r="J7" s="71" t="s">
        <v>16</v>
      </c>
      <c r="K7" s="71" t="s">
        <v>17</v>
      </c>
      <c r="L7" s="71" t="s">
        <v>18</v>
      </c>
      <c r="M7" s="71" t="s">
        <v>19</v>
      </c>
      <c r="N7" s="74" t="s">
        <v>20</v>
      </c>
      <c r="O7" s="75" t="s">
        <v>21</v>
      </c>
      <c r="P7" s="76" t="s">
        <v>22</v>
      </c>
      <c r="Q7" s="75" t="s">
        <v>23</v>
      </c>
      <c r="R7" s="71" t="s">
        <v>24</v>
      </c>
      <c r="S7" s="71" t="s">
        <v>25</v>
      </c>
      <c r="T7" s="71" t="s">
        <v>26</v>
      </c>
      <c r="U7" s="71" t="s">
        <v>27</v>
      </c>
      <c r="V7" s="75" t="s">
        <v>28</v>
      </c>
      <c r="W7" s="71" t="s">
        <v>29</v>
      </c>
      <c r="X7" s="72" t="s">
        <v>30</v>
      </c>
      <c r="Y7" s="1" t="s">
        <v>5</v>
      </c>
      <c r="Z7" s="77" t="s">
        <v>5</v>
      </c>
      <c r="AA7" s="78"/>
      <c r="AC7"/>
    </row>
    <row r="8" spans="1:29" x14ac:dyDescent="0.45">
      <c r="A8" s="70" t="s">
        <v>31</v>
      </c>
      <c r="C8" s="71" t="s">
        <v>32</v>
      </c>
      <c r="D8" s="72" t="s">
        <v>33</v>
      </c>
      <c r="E8" s="73" t="s">
        <v>34</v>
      </c>
      <c r="F8" s="72" t="s">
        <v>35</v>
      </c>
      <c r="G8" s="71" t="s">
        <v>36</v>
      </c>
      <c r="H8" s="71" t="s">
        <v>37</v>
      </c>
      <c r="I8" s="71" t="s">
        <v>38</v>
      </c>
      <c r="J8" s="71" t="s">
        <v>39</v>
      </c>
      <c r="K8" s="71" t="s">
        <v>40</v>
      </c>
      <c r="L8" s="71" t="s">
        <v>41</v>
      </c>
      <c r="M8" s="71" t="s">
        <v>39</v>
      </c>
      <c r="N8" s="74" t="s">
        <v>42</v>
      </c>
      <c r="O8" s="75" t="s">
        <v>43</v>
      </c>
      <c r="P8" s="76" t="s">
        <v>44</v>
      </c>
      <c r="Q8" s="75" t="s">
        <v>45</v>
      </c>
      <c r="R8" s="71" t="s">
        <v>46</v>
      </c>
      <c r="S8" s="71" t="s">
        <v>47</v>
      </c>
      <c r="T8" s="71" t="s">
        <v>48</v>
      </c>
      <c r="U8" s="71" t="s">
        <v>49</v>
      </c>
      <c r="V8" s="75" t="s">
        <v>50</v>
      </c>
      <c r="W8" s="71" t="s">
        <v>51</v>
      </c>
      <c r="X8" s="72" t="s">
        <v>52</v>
      </c>
      <c r="Z8" s="11"/>
      <c r="AA8" s="79" t="s">
        <v>53</v>
      </c>
      <c r="AC8"/>
    </row>
    <row r="9" spans="1:29" x14ac:dyDescent="0.45">
      <c r="A9" s="13"/>
      <c r="C9" s="71" t="s">
        <v>54</v>
      </c>
      <c r="D9" s="71" t="s">
        <v>73</v>
      </c>
      <c r="E9" s="75" t="s">
        <v>55</v>
      </c>
      <c r="H9" s="72" t="s">
        <v>56</v>
      </c>
      <c r="I9" s="72" t="s">
        <v>57</v>
      </c>
      <c r="J9" s="72" t="s">
        <v>74</v>
      </c>
      <c r="K9" s="72" t="s">
        <v>58</v>
      </c>
      <c r="M9" s="71" t="s">
        <v>59</v>
      </c>
      <c r="N9" s="80"/>
      <c r="O9" s="72"/>
      <c r="P9" s="60" t="s">
        <v>60</v>
      </c>
      <c r="Q9" s="73" t="s">
        <v>61</v>
      </c>
      <c r="S9" s="72" t="s">
        <v>62</v>
      </c>
      <c r="T9" s="72" t="s">
        <v>63</v>
      </c>
      <c r="U9" s="72" t="s">
        <v>64</v>
      </c>
      <c r="V9" s="73" t="s">
        <v>65</v>
      </c>
      <c r="W9" s="72" t="s">
        <v>66</v>
      </c>
      <c r="X9" s="72" t="s">
        <v>67</v>
      </c>
      <c r="Y9" s="71" t="s">
        <v>53</v>
      </c>
      <c r="Z9" s="74" t="s">
        <v>68</v>
      </c>
      <c r="AA9" s="14"/>
      <c r="AC9"/>
    </row>
    <row r="10" spans="1:29" ht="14.65" thickBot="1" x14ac:dyDescent="0.5">
      <c r="A10" s="15"/>
      <c r="B10" s="5"/>
      <c r="C10" s="5"/>
      <c r="D10" s="81" t="s">
        <v>69</v>
      </c>
      <c r="E10" s="81"/>
      <c r="F10" s="5"/>
      <c r="G10" s="5"/>
      <c r="H10" s="5"/>
      <c r="I10" s="5"/>
      <c r="J10" s="82" t="s">
        <v>58</v>
      </c>
      <c r="K10" s="82"/>
      <c r="L10" s="5"/>
      <c r="M10" s="5"/>
      <c r="N10" s="83"/>
      <c r="O10" s="82"/>
      <c r="P10" s="61" t="s">
        <v>70</v>
      </c>
      <c r="Q10" s="63" t="s">
        <v>56</v>
      </c>
      <c r="R10" s="5"/>
      <c r="S10" s="5"/>
      <c r="T10" s="5"/>
      <c r="U10" s="5"/>
      <c r="V10" s="64" t="s">
        <v>71</v>
      </c>
      <c r="W10" s="5"/>
      <c r="X10" s="5"/>
      <c r="Y10" s="5"/>
      <c r="Z10" s="84"/>
      <c r="AA10" s="16"/>
      <c r="AC10"/>
    </row>
    <row r="11" spans="1:29" ht="14.65" thickTop="1" x14ac:dyDescent="0.45">
      <c r="A11" s="13"/>
      <c r="N11" s="11"/>
      <c r="P11" s="17"/>
      <c r="Z11" s="11"/>
      <c r="AA11" s="7"/>
      <c r="AC11"/>
    </row>
    <row r="12" spans="1:29" x14ac:dyDescent="0.45">
      <c r="A12" s="13">
        <v>1980</v>
      </c>
      <c r="B12" s="85">
        <v>1625075</v>
      </c>
      <c r="C12" s="85">
        <v>55000</v>
      </c>
      <c r="D12" s="85">
        <v>20000</v>
      </c>
      <c r="E12" s="85">
        <v>0</v>
      </c>
      <c r="F12" s="85">
        <v>0</v>
      </c>
      <c r="G12" s="85">
        <v>1405000</v>
      </c>
      <c r="H12" s="85">
        <v>0</v>
      </c>
      <c r="I12" s="85">
        <v>85000</v>
      </c>
      <c r="J12" s="85">
        <v>70300</v>
      </c>
      <c r="K12" s="85">
        <v>0</v>
      </c>
      <c r="L12" s="85">
        <v>425000</v>
      </c>
      <c r="M12" s="85">
        <v>0</v>
      </c>
      <c r="N12" s="77">
        <v>0</v>
      </c>
      <c r="O12" s="85">
        <v>0</v>
      </c>
      <c r="P12" s="86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3685375</v>
      </c>
      <c r="Z12" s="77">
        <v>17884</v>
      </c>
      <c r="AA12" s="78">
        <v>3703259</v>
      </c>
      <c r="AC12"/>
    </row>
    <row r="13" spans="1:29" x14ac:dyDescent="0.45">
      <c r="A13" s="13">
        <v>1981</v>
      </c>
      <c r="B13" s="85">
        <v>2095000</v>
      </c>
      <c r="C13" s="85">
        <v>45000</v>
      </c>
      <c r="D13" s="85">
        <v>25000</v>
      </c>
      <c r="E13" s="85">
        <v>0</v>
      </c>
      <c r="F13" s="85">
        <v>25000</v>
      </c>
      <c r="G13" s="85">
        <v>1455000</v>
      </c>
      <c r="H13" s="85">
        <v>0</v>
      </c>
      <c r="I13" s="85">
        <v>72500</v>
      </c>
      <c r="J13" s="85">
        <v>56840</v>
      </c>
      <c r="K13" s="85">
        <v>0</v>
      </c>
      <c r="L13" s="85">
        <v>615032</v>
      </c>
      <c r="M13" s="85">
        <v>0</v>
      </c>
      <c r="N13" s="77">
        <v>0</v>
      </c>
      <c r="O13" s="85">
        <v>0</v>
      </c>
      <c r="P13" s="86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4389372</v>
      </c>
      <c r="Z13" s="77">
        <v>22200</v>
      </c>
      <c r="AA13" s="78">
        <v>4411572</v>
      </c>
      <c r="AC13"/>
    </row>
    <row r="14" spans="1:29" x14ac:dyDescent="0.45">
      <c r="A14" s="13">
        <v>1982</v>
      </c>
      <c r="B14" s="85">
        <v>1377500</v>
      </c>
      <c r="C14" s="85">
        <v>55000</v>
      </c>
      <c r="D14" s="85">
        <v>25000</v>
      </c>
      <c r="E14" s="85">
        <v>0</v>
      </c>
      <c r="F14" s="85">
        <v>7000</v>
      </c>
      <c r="G14" s="85">
        <v>1365250</v>
      </c>
      <c r="H14" s="85">
        <v>0</v>
      </c>
      <c r="I14" s="85">
        <v>68500</v>
      </c>
      <c r="J14" s="85">
        <v>49600</v>
      </c>
      <c r="K14" s="85">
        <v>0</v>
      </c>
      <c r="L14" s="85">
        <v>560000</v>
      </c>
      <c r="M14" s="85">
        <v>0</v>
      </c>
      <c r="N14" s="77">
        <v>0</v>
      </c>
      <c r="O14" s="85">
        <v>0</v>
      </c>
      <c r="P14" s="86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3507850</v>
      </c>
      <c r="Z14" s="77">
        <v>24388</v>
      </c>
      <c r="AA14" s="78">
        <v>3532238</v>
      </c>
      <c r="AC14"/>
    </row>
    <row r="15" spans="1:29" x14ac:dyDescent="0.45">
      <c r="A15" s="13">
        <v>1983</v>
      </c>
      <c r="B15" s="85">
        <v>1606650</v>
      </c>
      <c r="C15" s="85">
        <v>50000</v>
      </c>
      <c r="D15" s="85">
        <v>25000</v>
      </c>
      <c r="E15" s="85">
        <v>0</v>
      </c>
      <c r="F15" s="85">
        <v>10000</v>
      </c>
      <c r="G15" s="85">
        <v>1200000</v>
      </c>
      <c r="H15" s="85">
        <v>756175</v>
      </c>
      <c r="I15" s="85">
        <v>91325</v>
      </c>
      <c r="J15" s="85">
        <v>58250</v>
      </c>
      <c r="K15" s="85">
        <v>0</v>
      </c>
      <c r="L15" s="85">
        <v>412000</v>
      </c>
      <c r="M15" s="85">
        <v>0</v>
      </c>
      <c r="N15" s="77">
        <v>0</v>
      </c>
      <c r="O15" s="85">
        <v>0</v>
      </c>
      <c r="P15" s="86">
        <v>0</v>
      </c>
      <c r="Q15" s="85">
        <v>0</v>
      </c>
      <c r="R15" s="85">
        <v>0</v>
      </c>
      <c r="S15" s="85">
        <v>0</v>
      </c>
      <c r="T15" s="85">
        <v>0</v>
      </c>
      <c r="U15" s="85">
        <v>240000</v>
      </c>
      <c r="V15" s="85">
        <v>0</v>
      </c>
      <c r="W15" s="85">
        <v>0</v>
      </c>
      <c r="X15" s="85">
        <v>0</v>
      </c>
      <c r="Y15" s="85">
        <v>4449400</v>
      </c>
      <c r="Z15" s="77">
        <v>28407</v>
      </c>
      <c r="AA15" s="78">
        <v>4477807</v>
      </c>
      <c r="AC15"/>
    </row>
    <row r="16" spans="1:29" x14ac:dyDescent="0.45">
      <c r="A16" s="13">
        <v>1984</v>
      </c>
      <c r="B16" s="85">
        <v>1138900</v>
      </c>
      <c r="C16" s="85">
        <v>50000</v>
      </c>
      <c r="D16" s="85">
        <v>26100</v>
      </c>
      <c r="E16" s="85">
        <v>0</v>
      </c>
      <c r="F16" s="85">
        <v>10000</v>
      </c>
      <c r="G16" s="85">
        <v>0</v>
      </c>
      <c r="H16" s="85">
        <v>2318606</v>
      </c>
      <c r="I16" s="85">
        <v>69986</v>
      </c>
      <c r="J16" s="85">
        <v>54800</v>
      </c>
      <c r="K16" s="85">
        <v>0</v>
      </c>
      <c r="L16" s="85">
        <v>295400</v>
      </c>
      <c r="M16" s="85">
        <v>0</v>
      </c>
      <c r="N16" s="77">
        <v>0</v>
      </c>
      <c r="O16" s="85">
        <v>0</v>
      </c>
      <c r="P16" s="86">
        <v>0</v>
      </c>
      <c r="Q16" s="85">
        <v>0</v>
      </c>
      <c r="R16" s="85">
        <v>0</v>
      </c>
      <c r="S16" s="85">
        <v>0</v>
      </c>
      <c r="T16" s="85">
        <v>0</v>
      </c>
      <c r="U16" s="85">
        <v>250000</v>
      </c>
      <c r="V16" s="85">
        <v>0</v>
      </c>
      <c r="W16" s="85">
        <v>0</v>
      </c>
      <c r="X16" s="85">
        <v>0</v>
      </c>
      <c r="Y16" s="85">
        <v>4213792</v>
      </c>
      <c r="Z16" s="77">
        <v>29400</v>
      </c>
      <c r="AA16" s="78">
        <v>4243192</v>
      </c>
      <c r="AC16"/>
    </row>
    <row r="17" spans="1:29" x14ac:dyDescent="0.45">
      <c r="A17" s="19">
        <v>1985</v>
      </c>
      <c r="B17" s="87">
        <v>1018800</v>
      </c>
      <c r="C17" s="87">
        <v>50000</v>
      </c>
      <c r="D17" s="87">
        <v>26200</v>
      </c>
      <c r="E17" s="87">
        <v>0</v>
      </c>
      <c r="F17" s="87">
        <v>5000</v>
      </c>
      <c r="G17" s="87">
        <v>0</v>
      </c>
      <c r="H17" s="87">
        <v>2377730</v>
      </c>
      <c r="I17" s="87">
        <v>71770</v>
      </c>
      <c r="J17" s="87">
        <v>51000</v>
      </c>
      <c r="K17" s="87">
        <v>0</v>
      </c>
      <c r="L17" s="87">
        <v>250000</v>
      </c>
      <c r="M17" s="87">
        <v>0</v>
      </c>
      <c r="N17" s="88">
        <v>0</v>
      </c>
      <c r="O17" s="87">
        <v>0</v>
      </c>
      <c r="P17" s="89">
        <v>0</v>
      </c>
      <c r="Q17" s="87">
        <v>0</v>
      </c>
      <c r="R17" s="87">
        <v>0</v>
      </c>
      <c r="S17" s="87">
        <v>0</v>
      </c>
      <c r="T17" s="87">
        <v>0</v>
      </c>
      <c r="U17" s="87">
        <v>250000</v>
      </c>
      <c r="V17" s="85">
        <v>0</v>
      </c>
      <c r="W17" s="87">
        <v>0</v>
      </c>
      <c r="X17" s="87">
        <v>0</v>
      </c>
      <c r="Y17" s="85">
        <v>4100500</v>
      </c>
      <c r="Z17" s="88">
        <v>31000</v>
      </c>
      <c r="AA17" s="90">
        <v>4131500</v>
      </c>
      <c r="AC17"/>
    </row>
    <row r="18" spans="1:29" x14ac:dyDescent="0.45">
      <c r="A18" s="13">
        <v>1986</v>
      </c>
      <c r="B18" s="85">
        <v>970565</v>
      </c>
      <c r="C18" s="85">
        <v>47850</v>
      </c>
      <c r="D18" s="85">
        <v>29500</v>
      </c>
      <c r="E18" s="85">
        <v>0</v>
      </c>
      <c r="F18" s="85">
        <v>4785</v>
      </c>
      <c r="G18" s="85">
        <v>0</v>
      </c>
      <c r="H18" s="85">
        <v>1997264</v>
      </c>
      <c r="I18" s="85">
        <v>60286</v>
      </c>
      <c r="J18" s="85">
        <v>16652</v>
      </c>
      <c r="K18" s="85">
        <v>0</v>
      </c>
      <c r="L18" s="85">
        <v>191400</v>
      </c>
      <c r="M18" s="85">
        <v>0</v>
      </c>
      <c r="N18" s="77">
        <v>0</v>
      </c>
      <c r="O18" s="85">
        <v>0</v>
      </c>
      <c r="P18" s="86">
        <v>0</v>
      </c>
      <c r="Q18" s="85">
        <v>0</v>
      </c>
      <c r="R18" s="85">
        <v>0</v>
      </c>
      <c r="S18" s="85">
        <v>0</v>
      </c>
      <c r="T18" s="85">
        <v>0</v>
      </c>
      <c r="U18" s="85">
        <v>217239</v>
      </c>
      <c r="V18" s="85">
        <v>0</v>
      </c>
      <c r="W18" s="85">
        <v>0</v>
      </c>
      <c r="X18" s="85">
        <v>0</v>
      </c>
      <c r="Y18" s="85">
        <v>3535541</v>
      </c>
      <c r="Z18" s="77">
        <v>28710</v>
      </c>
      <c r="AA18" s="78">
        <v>3564251</v>
      </c>
      <c r="AC18"/>
    </row>
    <row r="19" spans="1:29" x14ac:dyDescent="0.45">
      <c r="A19" s="13">
        <v>1987</v>
      </c>
      <c r="B19" s="85">
        <v>915000</v>
      </c>
      <c r="C19" s="85">
        <v>45000</v>
      </c>
      <c r="D19" s="85">
        <v>35000</v>
      </c>
      <c r="E19" s="85">
        <v>0</v>
      </c>
      <c r="F19" s="85">
        <v>7500</v>
      </c>
      <c r="G19" s="85">
        <v>0</v>
      </c>
      <c r="H19" s="85">
        <v>1924995</v>
      </c>
      <c r="I19" s="85">
        <v>75005</v>
      </c>
      <c r="J19" s="85">
        <v>17400</v>
      </c>
      <c r="K19" s="85">
        <v>0</v>
      </c>
      <c r="L19" s="85">
        <v>200000</v>
      </c>
      <c r="M19" s="85">
        <v>0</v>
      </c>
      <c r="N19" s="77">
        <v>0</v>
      </c>
      <c r="O19" s="85">
        <v>0</v>
      </c>
      <c r="P19" s="86">
        <v>0</v>
      </c>
      <c r="Q19" s="85">
        <v>0</v>
      </c>
      <c r="R19" s="85">
        <v>0</v>
      </c>
      <c r="S19" s="85">
        <v>0</v>
      </c>
      <c r="T19" s="85">
        <v>0</v>
      </c>
      <c r="U19" s="85">
        <v>201120</v>
      </c>
      <c r="V19" s="85">
        <v>0</v>
      </c>
      <c r="W19" s="85">
        <v>0</v>
      </c>
      <c r="X19" s="85">
        <v>0</v>
      </c>
      <c r="Y19" s="85">
        <v>3421020</v>
      </c>
      <c r="Z19" s="77">
        <v>31000</v>
      </c>
      <c r="AA19" s="78">
        <v>3452020</v>
      </c>
      <c r="AC19"/>
    </row>
    <row r="20" spans="1:29" x14ac:dyDescent="0.45">
      <c r="A20" s="13">
        <v>1988</v>
      </c>
      <c r="B20" s="85">
        <v>980250</v>
      </c>
      <c r="C20" s="85">
        <v>45000</v>
      </c>
      <c r="D20" s="85">
        <v>35000</v>
      </c>
      <c r="E20" s="85">
        <v>0</v>
      </c>
      <c r="F20" s="85">
        <v>0</v>
      </c>
      <c r="G20" s="85">
        <v>0</v>
      </c>
      <c r="H20" s="85">
        <v>1732314</v>
      </c>
      <c r="I20" s="85">
        <v>69389</v>
      </c>
      <c r="J20" s="85">
        <v>12217</v>
      </c>
      <c r="K20" s="85">
        <v>0</v>
      </c>
      <c r="L20" s="85">
        <v>123500</v>
      </c>
      <c r="M20" s="85">
        <v>0</v>
      </c>
      <c r="N20" s="77">
        <v>0</v>
      </c>
      <c r="O20" s="85">
        <v>0</v>
      </c>
      <c r="P20" s="86">
        <v>0</v>
      </c>
      <c r="Q20" s="85">
        <v>0</v>
      </c>
      <c r="R20" s="85">
        <v>0</v>
      </c>
      <c r="S20" s="85">
        <v>0</v>
      </c>
      <c r="T20" s="85">
        <v>0</v>
      </c>
      <c r="U20" s="85">
        <v>180500</v>
      </c>
      <c r="V20" s="85">
        <v>0</v>
      </c>
      <c r="W20" s="85">
        <v>0</v>
      </c>
      <c r="X20" s="85">
        <v>5000</v>
      </c>
      <c r="Y20" s="85">
        <v>3183170</v>
      </c>
      <c r="Z20" s="77">
        <v>31882</v>
      </c>
      <c r="AA20" s="78">
        <v>3215052</v>
      </c>
      <c r="AC20"/>
    </row>
    <row r="21" spans="1:29" x14ac:dyDescent="0.45">
      <c r="A21" s="23">
        <v>1989</v>
      </c>
      <c r="B21" s="91">
        <v>985000</v>
      </c>
      <c r="C21" s="91">
        <v>45000</v>
      </c>
      <c r="D21" s="91">
        <v>35000</v>
      </c>
      <c r="E21" s="91">
        <v>0</v>
      </c>
      <c r="F21" s="91">
        <v>0</v>
      </c>
      <c r="G21" s="91">
        <v>0</v>
      </c>
      <c r="H21" s="91">
        <v>1603596</v>
      </c>
      <c r="I21" s="91">
        <v>71404</v>
      </c>
      <c r="J21" s="91">
        <v>10000</v>
      </c>
      <c r="K21" s="91">
        <v>0</v>
      </c>
      <c r="L21" s="91">
        <v>200000</v>
      </c>
      <c r="M21" s="91">
        <v>0</v>
      </c>
      <c r="N21" s="92">
        <v>0</v>
      </c>
      <c r="O21" s="91">
        <v>0</v>
      </c>
      <c r="P21" s="93">
        <v>0</v>
      </c>
      <c r="Q21" s="91">
        <v>0</v>
      </c>
      <c r="R21" s="91">
        <v>0</v>
      </c>
      <c r="S21" s="91">
        <v>0</v>
      </c>
      <c r="T21" s="91">
        <v>0</v>
      </c>
      <c r="U21" s="91">
        <v>168000</v>
      </c>
      <c r="V21" s="85">
        <v>0</v>
      </c>
      <c r="W21" s="91">
        <v>0</v>
      </c>
      <c r="X21" s="91">
        <v>5000</v>
      </c>
      <c r="Y21" s="85">
        <v>3123000</v>
      </c>
      <c r="Z21" s="92">
        <v>31882</v>
      </c>
      <c r="AA21" s="94">
        <v>3154882</v>
      </c>
      <c r="AC21"/>
    </row>
    <row r="22" spans="1:29" x14ac:dyDescent="0.45">
      <c r="A22" s="13">
        <v>1990</v>
      </c>
      <c r="B22" s="85">
        <v>982045</v>
      </c>
      <c r="C22" s="85">
        <v>44370</v>
      </c>
      <c r="D22" s="85">
        <v>34510</v>
      </c>
      <c r="E22" s="85">
        <v>0</v>
      </c>
      <c r="F22" s="85">
        <v>0</v>
      </c>
      <c r="G22" s="85">
        <v>0</v>
      </c>
      <c r="H22" s="85">
        <v>1624380</v>
      </c>
      <c r="I22" s="85">
        <v>70520</v>
      </c>
      <c r="J22" s="85">
        <v>9970</v>
      </c>
      <c r="K22" s="85">
        <v>0</v>
      </c>
      <c r="L22" s="85">
        <v>159520</v>
      </c>
      <c r="M22" s="85">
        <v>0</v>
      </c>
      <c r="N22" s="77">
        <v>0</v>
      </c>
      <c r="O22" s="85">
        <v>0</v>
      </c>
      <c r="P22" s="86">
        <v>0</v>
      </c>
      <c r="Q22" s="85">
        <v>0</v>
      </c>
      <c r="R22" s="85">
        <v>0</v>
      </c>
      <c r="S22" s="85">
        <v>0</v>
      </c>
      <c r="T22" s="85">
        <v>0</v>
      </c>
      <c r="U22" s="85">
        <v>84745</v>
      </c>
      <c r="V22" s="85">
        <v>0</v>
      </c>
      <c r="W22" s="85">
        <v>0</v>
      </c>
      <c r="X22" s="85">
        <v>4930</v>
      </c>
      <c r="Y22" s="85">
        <v>3014990</v>
      </c>
      <c r="Z22" s="77">
        <v>31809</v>
      </c>
      <c r="AA22" s="78">
        <v>3046799</v>
      </c>
      <c r="AC22"/>
    </row>
    <row r="23" spans="1:29" x14ac:dyDescent="0.45">
      <c r="A23" s="13">
        <v>1991</v>
      </c>
      <c r="B23" s="85">
        <v>1114982</v>
      </c>
      <c r="C23" s="85">
        <v>45000</v>
      </c>
      <c r="D23" s="85">
        <v>35000</v>
      </c>
      <c r="E23" s="85">
        <v>0</v>
      </c>
      <c r="F23" s="85">
        <v>0</v>
      </c>
      <c r="G23" s="85">
        <v>0</v>
      </c>
      <c r="H23" s="85">
        <v>1734620</v>
      </c>
      <c r="I23" s="85">
        <v>70359</v>
      </c>
      <c r="J23" s="85">
        <v>8000</v>
      </c>
      <c r="K23" s="85">
        <v>0</v>
      </c>
      <c r="L23" s="85">
        <v>148998</v>
      </c>
      <c r="M23" s="85">
        <v>0</v>
      </c>
      <c r="N23" s="77">
        <v>0</v>
      </c>
      <c r="O23" s="85">
        <v>0</v>
      </c>
      <c r="P23" s="86">
        <v>0</v>
      </c>
      <c r="Q23" s="85">
        <v>0</v>
      </c>
      <c r="R23" s="85">
        <v>0</v>
      </c>
      <c r="S23" s="85">
        <v>0</v>
      </c>
      <c r="T23" s="85">
        <v>0</v>
      </c>
      <c r="U23" s="85">
        <v>64099</v>
      </c>
      <c r="V23" s="85">
        <v>0</v>
      </c>
      <c r="W23" s="85">
        <v>0</v>
      </c>
      <c r="X23" s="85">
        <v>5000</v>
      </c>
      <c r="Y23" s="85">
        <v>3226058</v>
      </c>
      <c r="Z23" s="77">
        <v>32583</v>
      </c>
      <c r="AA23" s="78">
        <v>3258641</v>
      </c>
      <c r="AB23" s="85"/>
      <c r="AC23"/>
    </row>
    <row r="24" spans="1:29" x14ac:dyDescent="0.45">
      <c r="A24" s="13">
        <v>1992</v>
      </c>
      <c r="B24" s="85">
        <v>1356167</v>
      </c>
      <c r="C24" s="85">
        <v>43688</v>
      </c>
      <c r="D24" s="85">
        <v>54884</v>
      </c>
      <c r="E24" s="85">
        <v>0</v>
      </c>
      <c r="F24" s="85">
        <v>0</v>
      </c>
      <c r="G24" s="85">
        <v>0</v>
      </c>
      <c r="H24" s="85">
        <v>1822762</v>
      </c>
      <c r="I24" s="85">
        <f>111087-5000</f>
        <v>106087</v>
      </c>
      <c r="J24" s="85">
        <v>60427</v>
      </c>
      <c r="K24" s="85">
        <v>0</v>
      </c>
      <c r="L24" s="85">
        <v>160000</v>
      </c>
      <c r="M24" s="85">
        <v>0</v>
      </c>
      <c r="N24" s="77">
        <v>0</v>
      </c>
      <c r="O24" s="85">
        <v>0</v>
      </c>
      <c r="P24" s="86">
        <v>0</v>
      </c>
      <c r="Q24" s="85">
        <v>0</v>
      </c>
      <c r="R24" s="85">
        <v>0</v>
      </c>
      <c r="S24" s="85">
        <v>0</v>
      </c>
      <c r="T24" s="85">
        <v>0</v>
      </c>
      <c r="U24" s="85">
        <v>124000</v>
      </c>
      <c r="V24" s="85">
        <v>0</v>
      </c>
      <c r="W24" s="85">
        <v>0</v>
      </c>
      <c r="X24" s="85">
        <v>6985</v>
      </c>
      <c r="Y24" s="85">
        <v>3735000</v>
      </c>
      <c r="Z24" s="77">
        <v>37000</v>
      </c>
      <c r="AA24" s="78">
        <v>3772000</v>
      </c>
      <c r="AC24"/>
    </row>
    <row r="25" spans="1:29" x14ac:dyDescent="0.45">
      <c r="A25" s="13">
        <v>1993</v>
      </c>
      <c r="B25" s="85">
        <v>1725000</v>
      </c>
      <c r="C25" s="85">
        <v>38250</v>
      </c>
      <c r="D25" s="85">
        <v>48636</v>
      </c>
      <c r="E25" s="85">
        <v>0</v>
      </c>
      <c r="F25" s="85">
        <v>0</v>
      </c>
      <c r="G25" s="85">
        <v>0</v>
      </c>
      <c r="H25" s="85">
        <v>1560539</v>
      </c>
      <c r="I25" s="85">
        <v>95075</v>
      </c>
      <c r="J25" s="85">
        <v>42500</v>
      </c>
      <c r="K25" s="85">
        <v>0</v>
      </c>
      <c r="L25" s="85">
        <v>75000</v>
      </c>
      <c r="M25" s="85">
        <v>0</v>
      </c>
      <c r="N25" s="77">
        <v>0</v>
      </c>
      <c r="O25" s="85">
        <v>0</v>
      </c>
      <c r="P25" s="86">
        <v>0</v>
      </c>
      <c r="Q25" s="85">
        <v>0</v>
      </c>
      <c r="R25" s="85">
        <v>0</v>
      </c>
      <c r="S25" s="85">
        <v>0</v>
      </c>
      <c r="T25" s="85">
        <v>0</v>
      </c>
      <c r="U25" s="85">
        <v>170000</v>
      </c>
      <c r="V25" s="85">
        <v>0</v>
      </c>
      <c r="W25" s="85">
        <v>0</v>
      </c>
      <c r="X25" s="85">
        <v>6000</v>
      </c>
      <c r="Y25" s="85">
        <v>3761000</v>
      </c>
      <c r="Z25" s="77">
        <v>38245</v>
      </c>
      <c r="AA25" s="78">
        <v>3799245</v>
      </c>
      <c r="AB25" s="85"/>
      <c r="AC25"/>
    </row>
    <row r="26" spans="1:29" x14ac:dyDescent="0.45">
      <c r="A26" s="13">
        <v>1994</v>
      </c>
      <c r="B26" s="85">
        <v>1785000</v>
      </c>
      <c r="C26" s="85">
        <v>41513</v>
      </c>
      <c r="D26" s="85">
        <v>58726</v>
      </c>
      <c r="E26" s="85">
        <v>0</v>
      </c>
      <c r="F26" s="85">
        <v>0</v>
      </c>
      <c r="G26" s="85">
        <v>0</v>
      </c>
      <c r="H26" s="85">
        <v>2226553</v>
      </c>
      <c r="I26" s="85">
        <v>129588</v>
      </c>
      <c r="J26" s="85">
        <v>47428</v>
      </c>
      <c r="K26" s="85">
        <v>0</v>
      </c>
      <c r="L26" s="85">
        <v>45000</v>
      </c>
      <c r="M26" s="85">
        <v>0</v>
      </c>
      <c r="N26" s="77">
        <v>0</v>
      </c>
      <c r="O26" s="85">
        <v>0</v>
      </c>
      <c r="P26" s="86">
        <v>0</v>
      </c>
      <c r="Q26" s="85">
        <v>0</v>
      </c>
      <c r="R26" s="85">
        <v>0</v>
      </c>
      <c r="S26" s="85">
        <v>0</v>
      </c>
      <c r="T26" s="85">
        <v>0</v>
      </c>
      <c r="U26" s="85">
        <v>200000</v>
      </c>
      <c r="V26" s="85">
        <v>0</v>
      </c>
      <c r="W26" s="85">
        <v>0</v>
      </c>
      <c r="X26" s="85">
        <v>6000</v>
      </c>
      <c r="Y26" s="85">
        <v>4539808</v>
      </c>
      <c r="Z26" s="77">
        <v>39457</v>
      </c>
      <c r="AA26" s="78">
        <v>4579265</v>
      </c>
      <c r="AB26" s="85"/>
      <c r="AC26"/>
    </row>
    <row r="27" spans="1:29" x14ac:dyDescent="0.45">
      <c r="A27" s="19">
        <v>1995</v>
      </c>
      <c r="B27" s="87">
        <v>1724904</v>
      </c>
      <c r="C27" s="87">
        <v>41513</v>
      </c>
      <c r="D27" s="87">
        <v>59152</v>
      </c>
      <c r="E27" s="87">
        <v>0</v>
      </c>
      <c r="F27" s="87">
        <v>0</v>
      </c>
      <c r="G27" s="87">
        <v>0</v>
      </c>
      <c r="H27" s="87">
        <v>2299836</v>
      </c>
      <c r="I27" s="87">
        <v>137536</v>
      </c>
      <c r="J27" s="87">
        <v>46953</v>
      </c>
      <c r="K27" s="87">
        <v>0</v>
      </c>
      <c r="L27" s="87">
        <v>48030</v>
      </c>
      <c r="M27" s="87">
        <v>0</v>
      </c>
      <c r="N27" s="88">
        <v>0</v>
      </c>
      <c r="O27" s="87">
        <v>0</v>
      </c>
      <c r="P27" s="89">
        <v>0</v>
      </c>
      <c r="Q27" s="87">
        <v>0</v>
      </c>
      <c r="R27" s="87">
        <v>0</v>
      </c>
      <c r="S27" s="87">
        <v>0</v>
      </c>
      <c r="T27" s="87">
        <v>0</v>
      </c>
      <c r="U27" s="87">
        <v>200000</v>
      </c>
      <c r="V27" s="85">
        <v>0</v>
      </c>
      <c r="W27" s="87">
        <v>0</v>
      </c>
      <c r="X27" s="87">
        <v>6000</v>
      </c>
      <c r="Y27" s="85">
        <v>4563924</v>
      </c>
      <c r="Z27" s="88">
        <v>42316</v>
      </c>
      <c r="AA27" s="90">
        <v>4606240</v>
      </c>
      <c r="AC27"/>
    </row>
    <row r="28" spans="1:29" x14ac:dyDescent="0.45">
      <c r="A28" s="13">
        <v>1996</v>
      </c>
      <c r="B28" s="85">
        <v>1665000</v>
      </c>
      <c r="C28" s="85">
        <v>39500</v>
      </c>
      <c r="D28" s="85">
        <v>51609</v>
      </c>
      <c r="E28" s="85">
        <v>0</v>
      </c>
      <c r="F28" s="85">
        <v>0</v>
      </c>
      <c r="G28" s="85">
        <v>0</v>
      </c>
      <c r="H28" s="85">
        <v>1890147</v>
      </c>
      <c r="I28" s="85">
        <v>114572</v>
      </c>
      <c r="J28" s="85">
        <v>41500</v>
      </c>
      <c r="K28" s="85">
        <v>0</v>
      </c>
      <c r="L28" s="85">
        <v>0</v>
      </c>
      <c r="M28" s="85">
        <v>0</v>
      </c>
      <c r="N28" s="77">
        <v>0</v>
      </c>
      <c r="O28" s="85">
        <v>0</v>
      </c>
      <c r="P28" s="86">
        <v>0</v>
      </c>
      <c r="Q28" s="85">
        <v>0</v>
      </c>
      <c r="R28" s="85">
        <v>0</v>
      </c>
      <c r="S28" s="85">
        <v>0</v>
      </c>
      <c r="T28" s="85">
        <v>0</v>
      </c>
      <c r="U28" s="85">
        <v>200000</v>
      </c>
      <c r="V28" s="85">
        <v>0</v>
      </c>
      <c r="W28" s="85">
        <v>0</v>
      </c>
      <c r="X28" s="85">
        <v>6000</v>
      </c>
      <c r="Y28" s="85">
        <v>4008328</v>
      </c>
      <c r="Z28" s="77">
        <v>40722</v>
      </c>
      <c r="AA28" s="78">
        <v>4049050</v>
      </c>
      <c r="AC28"/>
    </row>
    <row r="29" spans="1:29" x14ac:dyDescent="0.45">
      <c r="A29" s="13">
        <v>1997</v>
      </c>
      <c r="B29" s="85">
        <v>1900000</v>
      </c>
      <c r="C29" s="85">
        <v>39500</v>
      </c>
      <c r="D29" s="85">
        <v>56041</v>
      </c>
      <c r="E29" s="85">
        <v>0</v>
      </c>
      <c r="F29" s="85">
        <v>0</v>
      </c>
      <c r="G29" s="85">
        <v>0</v>
      </c>
      <c r="H29" s="85">
        <v>1978021</v>
      </c>
      <c r="I29" s="85">
        <v>119623</v>
      </c>
      <c r="J29" s="85">
        <v>41500</v>
      </c>
      <c r="K29" s="85">
        <v>0</v>
      </c>
      <c r="L29" s="85">
        <v>0</v>
      </c>
      <c r="M29" s="85">
        <v>0</v>
      </c>
      <c r="N29" s="77">
        <v>0</v>
      </c>
      <c r="O29" s="85">
        <v>0</v>
      </c>
      <c r="P29" s="86">
        <v>0</v>
      </c>
      <c r="Q29" s="85">
        <v>0</v>
      </c>
      <c r="R29" s="85">
        <v>0</v>
      </c>
      <c r="S29" s="85">
        <v>0</v>
      </c>
      <c r="T29" s="85">
        <v>0</v>
      </c>
      <c r="U29" s="85">
        <v>200000</v>
      </c>
      <c r="V29" s="85">
        <v>0</v>
      </c>
      <c r="W29" s="85">
        <v>0</v>
      </c>
      <c r="X29" s="85">
        <v>6000</v>
      </c>
      <c r="Y29" s="85">
        <v>4340685</v>
      </c>
      <c r="Z29" s="77">
        <v>41826</v>
      </c>
      <c r="AA29" s="78">
        <v>4382511</v>
      </c>
      <c r="AC29"/>
    </row>
    <row r="30" spans="1:29" x14ac:dyDescent="0.45">
      <c r="A30" s="13">
        <v>1998</v>
      </c>
      <c r="B30" s="85">
        <v>2000000</v>
      </c>
      <c r="C30" s="85">
        <v>39499</v>
      </c>
      <c r="D30" s="85">
        <v>62219</v>
      </c>
      <c r="E30" s="85">
        <v>0</v>
      </c>
      <c r="F30" s="85">
        <v>0</v>
      </c>
      <c r="G30" s="85">
        <v>0</v>
      </c>
      <c r="H30" s="85">
        <v>2303703</v>
      </c>
      <c r="I30" s="85">
        <f>134078+4500</f>
        <v>138578</v>
      </c>
      <c r="J30" s="85">
        <v>48001</v>
      </c>
      <c r="K30" s="85">
        <v>0</v>
      </c>
      <c r="L30" s="85">
        <v>0</v>
      </c>
      <c r="M30" s="85">
        <v>0</v>
      </c>
      <c r="N30" s="77">
        <v>0</v>
      </c>
      <c r="O30" s="85">
        <v>0</v>
      </c>
      <c r="P30" s="86">
        <v>0</v>
      </c>
      <c r="Q30" s="85">
        <v>0</v>
      </c>
      <c r="R30" s="85">
        <v>0</v>
      </c>
      <c r="S30" s="85">
        <v>0</v>
      </c>
      <c r="T30" s="85">
        <v>0</v>
      </c>
      <c r="U30" s="85">
        <v>200000</v>
      </c>
      <c r="V30" s="85">
        <v>0</v>
      </c>
      <c r="W30" s="85">
        <v>0</v>
      </c>
      <c r="X30" s="85">
        <v>6000</v>
      </c>
      <c r="Y30" s="85">
        <v>4798000</v>
      </c>
      <c r="Z30" s="77">
        <f>45738-124</f>
        <v>45614</v>
      </c>
      <c r="AA30" s="78">
        <v>4843614</v>
      </c>
      <c r="AC30"/>
    </row>
    <row r="31" spans="1:29" x14ac:dyDescent="0.45">
      <c r="A31" s="23">
        <v>1999</v>
      </c>
      <c r="B31" s="91">
        <f>2257000+50000</f>
        <v>2307000</v>
      </c>
      <c r="C31" s="91">
        <v>43842</v>
      </c>
      <c r="D31" s="91">
        <v>67036</v>
      </c>
      <c r="E31" s="91">
        <v>0</v>
      </c>
      <c r="F31" s="91">
        <v>0</v>
      </c>
      <c r="G31" s="91">
        <v>0</v>
      </c>
      <c r="H31" s="91">
        <v>2552241</v>
      </c>
      <c r="I31" s="91">
        <v>183174</v>
      </c>
      <c r="J31" s="91">
        <v>48908</v>
      </c>
      <c r="K31" s="91">
        <v>0</v>
      </c>
      <c r="L31" s="91">
        <v>0</v>
      </c>
      <c r="M31" s="91">
        <v>0</v>
      </c>
      <c r="N31" s="92">
        <v>0</v>
      </c>
      <c r="O31" s="91">
        <v>0</v>
      </c>
      <c r="P31" s="93">
        <v>0</v>
      </c>
      <c r="Q31" s="91">
        <v>0</v>
      </c>
      <c r="R31" s="91">
        <v>0</v>
      </c>
      <c r="S31" s="91">
        <v>2000</v>
      </c>
      <c r="T31" s="91">
        <v>75000</v>
      </c>
      <c r="U31" s="91">
        <v>50000</v>
      </c>
      <c r="V31" s="85">
        <v>0</v>
      </c>
      <c r="W31" s="91">
        <v>0</v>
      </c>
      <c r="X31" s="91">
        <v>6000</v>
      </c>
      <c r="Y31" s="85">
        <v>5335201</v>
      </c>
      <c r="Z31" s="92">
        <v>53338</v>
      </c>
      <c r="AA31" s="94">
        <v>5388539</v>
      </c>
      <c r="AC31"/>
    </row>
    <row r="32" spans="1:29" x14ac:dyDescent="0.45">
      <c r="A32" s="13">
        <v>2000</v>
      </c>
      <c r="B32" s="85">
        <v>2492144</v>
      </c>
      <c r="C32" s="85">
        <v>49632</v>
      </c>
      <c r="D32" s="85">
        <v>72947</v>
      </c>
      <c r="E32" s="85">
        <v>0</v>
      </c>
      <c r="F32" s="85">
        <v>0</v>
      </c>
      <c r="G32" s="85">
        <v>0</v>
      </c>
      <c r="H32" s="85">
        <v>2777740</v>
      </c>
      <c r="I32" s="85">
        <v>198863</v>
      </c>
      <c r="J32" s="85">
        <v>54327</v>
      </c>
      <c r="K32" s="85">
        <v>0</v>
      </c>
      <c r="L32" s="85">
        <v>0</v>
      </c>
      <c r="M32" s="85">
        <v>0</v>
      </c>
      <c r="N32" s="77">
        <v>0</v>
      </c>
      <c r="O32" s="85">
        <v>0</v>
      </c>
      <c r="P32" s="86">
        <v>0</v>
      </c>
      <c r="Q32" s="85">
        <v>0</v>
      </c>
      <c r="R32" s="85">
        <v>0</v>
      </c>
      <c r="S32" s="85">
        <v>3700</v>
      </c>
      <c r="T32" s="85">
        <v>75000</v>
      </c>
      <c r="U32" s="85">
        <v>0</v>
      </c>
      <c r="V32" s="85">
        <v>0</v>
      </c>
      <c r="W32" s="85">
        <v>0</v>
      </c>
      <c r="X32" s="85">
        <v>6000</v>
      </c>
      <c r="Y32" s="85">
        <v>5730353</v>
      </c>
      <c r="Z32" s="77">
        <v>59562</v>
      </c>
      <c r="AA32" s="78">
        <v>5789915</v>
      </c>
      <c r="AC32"/>
    </row>
    <row r="33" spans="1:29" x14ac:dyDescent="0.45">
      <c r="A33" s="13">
        <v>2001</v>
      </c>
      <c r="B33" s="85">
        <v>2694560</v>
      </c>
      <c r="C33" s="85">
        <v>51999</v>
      </c>
      <c r="D33" s="85">
        <v>77240</v>
      </c>
      <c r="E33" s="85">
        <v>0</v>
      </c>
      <c r="F33" s="85">
        <v>0</v>
      </c>
      <c r="G33" s="85">
        <v>0</v>
      </c>
      <c r="H33" s="85">
        <v>2999814</v>
      </c>
      <c r="I33" s="85">
        <v>210247</v>
      </c>
      <c r="J33" s="85">
        <v>52520</v>
      </c>
      <c r="K33" s="85">
        <v>0</v>
      </c>
      <c r="L33" s="85">
        <v>0</v>
      </c>
      <c r="M33" s="85">
        <v>0</v>
      </c>
      <c r="N33" s="77">
        <v>0</v>
      </c>
      <c r="O33" s="85">
        <v>0</v>
      </c>
      <c r="P33" s="86">
        <v>0</v>
      </c>
      <c r="Q33" s="85">
        <v>0</v>
      </c>
      <c r="R33" s="85">
        <v>0</v>
      </c>
      <c r="S33" s="85">
        <v>4690</v>
      </c>
      <c r="T33" s="85">
        <v>99780</v>
      </c>
      <c r="U33" s="85">
        <v>0</v>
      </c>
      <c r="V33" s="85">
        <v>0</v>
      </c>
      <c r="W33" s="85">
        <v>0</v>
      </c>
      <c r="X33" s="85">
        <v>5987</v>
      </c>
      <c r="Y33" s="85">
        <v>6196837</v>
      </c>
      <c r="Z33" s="77">
        <v>63859</v>
      </c>
      <c r="AA33" s="78">
        <v>6260696</v>
      </c>
      <c r="AC33"/>
    </row>
    <row r="34" spans="1:29" x14ac:dyDescent="0.45">
      <c r="A34" s="13">
        <v>2002</v>
      </c>
      <c r="B34" s="85">
        <v>2891000</v>
      </c>
      <c r="C34" s="85">
        <v>55422</v>
      </c>
      <c r="D34" s="85">
        <v>84605</v>
      </c>
      <c r="E34" s="85">
        <v>0</v>
      </c>
      <c r="F34" s="85">
        <v>0</v>
      </c>
      <c r="G34" s="85">
        <v>0</v>
      </c>
      <c r="H34" s="85">
        <v>3225797</v>
      </c>
      <c r="I34" s="85">
        <v>229805</v>
      </c>
      <c r="J34" s="85">
        <v>55328</v>
      </c>
      <c r="K34" s="85">
        <v>0</v>
      </c>
      <c r="L34" s="85">
        <v>0</v>
      </c>
      <c r="M34" s="85">
        <v>0</v>
      </c>
      <c r="N34" s="77">
        <v>0</v>
      </c>
      <c r="O34" s="85">
        <v>0</v>
      </c>
      <c r="P34" s="86">
        <v>0</v>
      </c>
      <c r="Q34" s="85">
        <v>0</v>
      </c>
      <c r="R34" s="85">
        <v>0</v>
      </c>
      <c r="S34" s="85">
        <v>6950</v>
      </c>
      <c r="T34" s="85">
        <v>125000</v>
      </c>
      <c r="U34" s="85">
        <v>0</v>
      </c>
      <c r="V34" s="85">
        <v>0</v>
      </c>
      <c r="W34" s="85">
        <f>123500+1800000</f>
        <v>1923500</v>
      </c>
      <c r="X34" s="85">
        <v>6000</v>
      </c>
      <c r="Y34" s="85">
        <v>8603407</v>
      </c>
      <c r="Z34" s="77">
        <v>67000</v>
      </c>
      <c r="AA34" s="78">
        <v>8670407</v>
      </c>
      <c r="AC34"/>
    </row>
    <row r="35" spans="1:29" x14ac:dyDescent="0.45">
      <c r="A35" s="13">
        <v>2003</v>
      </c>
      <c r="B35" s="85">
        <v>3111664</v>
      </c>
      <c r="C35" s="85">
        <v>59993</v>
      </c>
      <c r="D35" s="85">
        <v>90064</v>
      </c>
      <c r="E35" s="85">
        <v>0</v>
      </c>
      <c r="F35" s="85">
        <v>0</v>
      </c>
      <c r="G35" s="85">
        <v>0</v>
      </c>
      <c r="H35" s="85">
        <f>3423541+4818</f>
        <v>3428359</v>
      </c>
      <c r="I35" s="85">
        <f>239044+5216</f>
        <v>244260</v>
      </c>
      <c r="J35" s="85">
        <f>31295+12532+3974+8196</f>
        <v>55997</v>
      </c>
      <c r="K35" s="85">
        <v>0</v>
      </c>
      <c r="L35" s="85">
        <v>0</v>
      </c>
      <c r="M35" s="85">
        <v>0</v>
      </c>
      <c r="N35" s="77">
        <v>0</v>
      </c>
      <c r="O35" s="85">
        <v>0</v>
      </c>
      <c r="P35" s="86">
        <v>0</v>
      </c>
      <c r="Q35" s="85">
        <v>0</v>
      </c>
      <c r="R35" s="85">
        <v>0</v>
      </c>
      <c r="S35" s="85">
        <v>6905</v>
      </c>
      <c r="T35" s="85">
        <v>104318</v>
      </c>
      <c r="U35" s="85">
        <v>0</v>
      </c>
      <c r="V35" s="85">
        <v>0</v>
      </c>
      <c r="W35" s="85">
        <v>0</v>
      </c>
      <c r="X35" s="85">
        <v>5961</v>
      </c>
      <c r="Y35" s="85">
        <v>7107521</v>
      </c>
      <c r="Z35" s="77">
        <v>72526</v>
      </c>
      <c r="AA35" s="78">
        <v>7180047</v>
      </c>
      <c r="AC35"/>
    </row>
    <row r="36" spans="1:29" x14ac:dyDescent="0.45">
      <c r="A36" s="13">
        <v>2004</v>
      </c>
      <c r="B36" s="85">
        <f>3118989+49705+19882</f>
        <v>3188576</v>
      </c>
      <c r="C36" s="85">
        <v>60029</v>
      </c>
      <c r="D36" s="85">
        <v>90118</v>
      </c>
      <c r="E36" s="85">
        <v>0</v>
      </c>
      <c r="F36" s="85">
        <v>0</v>
      </c>
      <c r="G36" s="85">
        <v>0</v>
      </c>
      <c r="H36" s="85">
        <f>3425609+4821</f>
        <v>3430430</v>
      </c>
      <c r="I36" s="85">
        <f>239188+5219</f>
        <v>244407</v>
      </c>
      <c r="J36" s="85">
        <f>35290+8201+12540+3976</f>
        <v>60007</v>
      </c>
      <c r="K36" s="85">
        <v>0</v>
      </c>
      <c r="L36" s="85">
        <v>0</v>
      </c>
      <c r="M36" s="85">
        <v>0</v>
      </c>
      <c r="N36" s="77">
        <v>0</v>
      </c>
      <c r="O36" s="85">
        <v>0</v>
      </c>
      <c r="P36" s="86">
        <v>0</v>
      </c>
      <c r="Q36" s="85">
        <v>0</v>
      </c>
      <c r="R36" s="85">
        <v>0</v>
      </c>
      <c r="S36" s="85">
        <v>6909</v>
      </c>
      <c r="T36" s="85">
        <v>104381</v>
      </c>
      <c r="U36" s="85">
        <v>0</v>
      </c>
      <c r="V36" s="85">
        <v>0</v>
      </c>
      <c r="W36" s="85">
        <v>0</v>
      </c>
      <c r="X36" s="85">
        <v>5965</v>
      </c>
      <c r="Y36" s="85">
        <v>7190822</v>
      </c>
      <c r="Z36" s="77">
        <v>75055</v>
      </c>
      <c r="AA36" s="78">
        <v>7265877</v>
      </c>
      <c r="AC36"/>
    </row>
    <row r="37" spans="1:29" x14ac:dyDescent="0.45">
      <c r="A37" s="19">
        <v>2005</v>
      </c>
      <c r="B37" s="87">
        <v>3361714</v>
      </c>
      <c r="C37" s="87">
        <v>59903</v>
      </c>
      <c r="D37" s="87">
        <v>94527</v>
      </c>
      <c r="E37" s="87">
        <v>0</v>
      </c>
      <c r="F37" s="87">
        <v>0</v>
      </c>
      <c r="G37" s="87">
        <v>0</v>
      </c>
      <c r="H37" s="87">
        <v>3593195</v>
      </c>
      <c r="I37" s="87">
        <v>256098</v>
      </c>
      <c r="J37" s="87">
        <v>61865</v>
      </c>
      <c r="K37" s="87">
        <v>0</v>
      </c>
      <c r="L37" s="87">
        <v>0</v>
      </c>
      <c r="M37" s="87">
        <v>0</v>
      </c>
      <c r="N37" s="88">
        <v>0</v>
      </c>
      <c r="O37" s="87">
        <v>0</v>
      </c>
      <c r="P37" s="89">
        <v>0</v>
      </c>
      <c r="Q37" s="87">
        <v>0</v>
      </c>
      <c r="R37" s="87">
        <v>0</v>
      </c>
      <c r="S37" s="87">
        <v>6894</v>
      </c>
      <c r="T37" s="87">
        <v>124000</v>
      </c>
      <c r="U37" s="87">
        <v>0</v>
      </c>
      <c r="V37" s="85">
        <v>0</v>
      </c>
      <c r="W37" s="87">
        <v>0</v>
      </c>
      <c r="X37" s="87">
        <v>5952</v>
      </c>
      <c r="Y37" s="85">
        <v>7564148</v>
      </c>
      <c r="Z37" s="88">
        <v>76423</v>
      </c>
      <c r="AA37" s="90">
        <v>7640571</v>
      </c>
      <c r="AC37"/>
    </row>
    <row r="38" spans="1:29" x14ac:dyDescent="0.45">
      <c r="A38" s="13">
        <v>2006</v>
      </c>
      <c r="B38" s="85">
        <v>3656762</v>
      </c>
      <c r="C38" s="85">
        <v>77798</v>
      </c>
      <c r="D38" s="85">
        <v>110880</v>
      </c>
      <c r="E38" s="85">
        <v>0</v>
      </c>
      <c r="F38" s="85">
        <v>0</v>
      </c>
      <c r="G38" s="85">
        <v>0</v>
      </c>
      <c r="H38" s="85">
        <v>3432014</v>
      </c>
      <c r="I38" s="85">
        <v>384120</v>
      </c>
      <c r="J38" s="85">
        <v>67518</v>
      </c>
      <c r="K38" s="85">
        <v>16251</v>
      </c>
      <c r="L38" s="85">
        <v>0</v>
      </c>
      <c r="M38" s="85">
        <v>3465</v>
      </c>
      <c r="N38" s="77">
        <v>77720</v>
      </c>
      <c r="O38" s="85">
        <v>24750</v>
      </c>
      <c r="P38" s="86">
        <v>21780</v>
      </c>
      <c r="Q38" s="85">
        <v>384120</v>
      </c>
      <c r="R38" s="85">
        <v>17607</v>
      </c>
      <c r="S38" s="85">
        <v>7425</v>
      </c>
      <c r="T38" s="85">
        <v>136620</v>
      </c>
      <c r="U38" s="85">
        <v>0</v>
      </c>
      <c r="V38" s="85">
        <v>0</v>
      </c>
      <c r="W38" s="85">
        <v>0</v>
      </c>
      <c r="X38" s="85">
        <v>6930</v>
      </c>
      <c r="Y38" s="85">
        <v>8425760</v>
      </c>
      <c r="Z38" s="77">
        <v>79200</v>
      </c>
      <c r="AA38" s="78">
        <v>8504960</v>
      </c>
      <c r="AC38"/>
    </row>
    <row r="39" spans="1:29" x14ac:dyDescent="0.45">
      <c r="A39" s="13">
        <v>2007</v>
      </c>
      <c r="B39" s="85">
        <v>3895779</v>
      </c>
      <c r="C39" s="85">
        <v>81892</v>
      </c>
      <c r="D39" s="85">
        <v>117000</v>
      </c>
      <c r="E39" s="85">
        <v>0</v>
      </c>
      <c r="F39" s="85">
        <v>0</v>
      </c>
      <c r="G39" s="85">
        <v>0</v>
      </c>
      <c r="H39" s="85">
        <v>3606175</v>
      </c>
      <c r="I39" s="85">
        <v>404000</v>
      </c>
      <c r="J39" s="85">
        <v>54000</v>
      </c>
      <c r="K39" s="85">
        <v>17107</v>
      </c>
      <c r="L39" s="85">
        <v>0</v>
      </c>
      <c r="M39" s="85">
        <v>3500</v>
      </c>
      <c r="N39" s="77">
        <v>81000</v>
      </c>
      <c r="O39" s="85">
        <v>25000</v>
      </c>
      <c r="P39" s="86">
        <v>23000</v>
      </c>
      <c r="Q39" s="85">
        <v>404000</v>
      </c>
      <c r="R39" s="85">
        <v>18721</v>
      </c>
      <c r="S39" s="85">
        <v>7600</v>
      </c>
      <c r="T39" s="85">
        <v>144000</v>
      </c>
      <c r="U39" s="85">
        <v>0</v>
      </c>
      <c r="V39" s="85">
        <v>0</v>
      </c>
      <c r="W39" s="85">
        <v>0</v>
      </c>
      <c r="X39" s="85">
        <v>7000</v>
      </c>
      <c r="Y39" s="85">
        <v>8889774</v>
      </c>
      <c r="Z39" s="77">
        <v>85000</v>
      </c>
      <c r="AA39" s="78">
        <v>8974774</v>
      </c>
      <c r="AC39"/>
    </row>
    <row r="40" spans="1:29" x14ac:dyDescent="0.45">
      <c r="A40" s="13">
        <v>2008</v>
      </c>
      <c r="B40" s="85">
        <v>3962145</v>
      </c>
      <c r="C40" s="85">
        <v>88510</v>
      </c>
      <c r="D40" s="85">
        <v>127000</v>
      </c>
      <c r="E40" s="85">
        <v>0</v>
      </c>
      <c r="F40" s="85">
        <v>0</v>
      </c>
      <c r="G40" s="85">
        <v>0</v>
      </c>
      <c r="H40" s="85">
        <v>3910843</v>
      </c>
      <c r="I40" s="85">
        <v>438000</v>
      </c>
      <c r="J40" s="85">
        <v>58363</v>
      </c>
      <c r="K40" s="85">
        <v>18489</v>
      </c>
      <c r="L40" s="85">
        <v>0</v>
      </c>
      <c r="M40" s="85">
        <v>3500</v>
      </c>
      <c r="N40" s="77">
        <v>87500</v>
      </c>
      <c r="O40" s="85">
        <v>24691</v>
      </c>
      <c r="P40" s="86">
        <v>25000</v>
      </c>
      <c r="Q40" s="85">
        <v>438000</v>
      </c>
      <c r="R40" s="85">
        <v>49000</v>
      </c>
      <c r="S40" s="85">
        <v>8300</v>
      </c>
      <c r="T40" s="85">
        <v>156000</v>
      </c>
      <c r="U40" s="85">
        <v>0</v>
      </c>
      <c r="V40" s="85">
        <v>0</v>
      </c>
      <c r="W40" s="85">
        <v>0</v>
      </c>
      <c r="X40" s="85">
        <v>7000</v>
      </c>
      <c r="Y40" s="85">
        <v>9402341</v>
      </c>
      <c r="Z40" s="77">
        <v>89300</v>
      </c>
      <c r="AA40" s="78">
        <v>9491641</v>
      </c>
      <c r="AC40"/>
    </row>
    <row r="41" spans="1:29" x14ac:dyDescent="0.45">
      <c r="A41" s="13">
        <v>2009</v>
      </c>
      <c r="B41" s="85">
        <v>4359750</v>
      </c>
      <c r="C41" s="85">
        <v>93887</v>
      </c>
      <c r="D41" s="85">
        <v>133500</v>
      </c>
      <c r="E41" s="85">
        <v>0</v>
      </c>
      <c r="F41" s="85">
        <v>0</v>
      </c>
      <c r="G41" s="85">
        <v>0</v>
      </c>
      <c r="H41" s="85">
        <v>4160365</v>
      </c>
      <c r="I41" s="85">
        <v>465000</v>
      </c>
      <c r="J41" s="85">
        <v>60000</v>
      </c>
      <c r="K41" s="85">
        <v>19613</v>
      </c>
      <c r="L41" s="85">
        <v>0</v>
      </c>
      <c r="M41" s="85">
        <v>3500</v>
      </c>
      <c r="N41" s="77">
        <v>92500</v>
      </c>
      <c r="O41" s="85">
        <v>25000</v>
      </c>
      <c r="P41" s="86">
        <v>26900</v>
      </c>
      <c r="Q41" s="85">
        <v>465000</v>
      </c>
      <c r="R41" s="85">
        <v>51500</v>
      </c>
      <c r="S41" s="85">
        <v>8800</v>
      </c>
      <c r="T41" s="85">
        <v>164500</v>
      </c>
      <c r="U41" s="85">
        <v>0</v>
      </c>
      <c r="V41" s="85">
        <v>0</v>
      </c>
      <c r="W41" s="85">
        <v>0</v>
      </c>
      <c r="X41" s="85">
        <v>7000</v>
      </c>
      <c r="Y41" s="85">
        <v>10136815</v>
      </c>
      <c r="Z41" s="77">
        <v>94413</v>
      </c>
      <c r="AA41" s="78">
        <v>10231228</v>
      </c>
      <c r="AC41"/>
    </row>
    <row r="42" spans="1:29" x14ac:dyDescent="0.45">
      <c r="A42" s="13">
        <v>2010</v>
      </c>
      <c r="B42" s="85">
        <v>4642985.6840000004</v>
      </c>
      <c r="C42" s="85">
        <v>93691.869000000006</v>
      </c>
      <c r="D42" s="85">
        <v>133222.25599999999</v>
      </c>
      <c r="E42" s="85">
        <v>0</v>
      </c>
      <c r="F42" s="85">
        <v>0</v>
      </c>
      <c r="G42" s="85">
        <v>0</v>
      </c>
      <c r="H42" s="85">
        <v>4151709.4390000002</v>
      </c>
      <c r="I42" s="85">
        <v>464032.576</v>
      </c>
      <c r="J42" s="85">
        <v>58670</v>
      </c>
      <c r="K42" s="85">
        <v>19571.995999999999</v>
      </c>
      <c r="L42" s="85">
        <v>0</v>
      </c>
      <c r="M42" s="85">
        <v>3492.7179999999998</v>
      </c>
      <c r="N42" s="77">
        <v>92307.554999999993</v>
      </c>
      <c r="O42" s="85">
        <v>24947.988000000001</v>
      </c>
      <c r="P42" s="86">
        <v>26844.035</v>
      </c>
      <c r="Q42" s="85">
        <v>464032.576</v>
      </c>
      <c r="R42" s="85">
        <v>51392.855000000003</v>
      </c>
      <c r="S42" s="85">
        <v>8781.6919999999991</v>
      </c>
      <c r="T42" s="85">
        <v>164157.761</v>
      </c>
      <c r="U42" s="85">
        <v>150000</v>
      </c>
      <c r="V42" s="85">
        <v>75000</v>
      </c>
      <c r="W42" s="85">
        <v>0</v>
      </c>
      <c r="X42" s="85">
        <v>7000</v>
      </c>
      <c r="Y42" s="85">
        <v>10631840.999999998</v>
      </c>
      <c r="Z42" s="77">
        <v>98911</v>
      </c>
      <c r="AA42" s="78">
        <v>10730751.999999998</v>
      </c>
      <c r="AC42"/>
    </row>
    <row r="43" spans="1:29" x14ac:dyDescent="0.45">
      <c r="A43" s="13">
        <v>2011</v>
      </c>
      <c r="B43" s="85">
        <v>4241785.6840000004</v>
      </c>
      <c r="C43" s="85">
        <v>93691.869000000006</v>
      </c>
      <c r="D43" s="85">
        <v>133222.25599999999</v>
      </c>
      <c r="E43" s="85">
        <v>0</v>
      </c>
      <c r="F43" s="85">
        <v>0</v>
      </c>
      <c r="G43" s="85">
        <v>0</v>
      </c>
      <c r="H43" s="85">
        <v>4151709.4390000002</v>
      </c>
      <c r="I43" s="85">
        <v>464032.576</v>
      </c>
      <c r="J43" s="85">
        <v>52605.557179838579</v>
      </c>
      <c r="K43" s="85">
        <v>19571.995999999999</v>
      </c>
      <c r="L43" s="85">
        <v>0</v>
      </c>
      <c r="M43" s="85">
        <v>3492.7179999999998</v>
      </c>
      <c r="N43" s="77">
        <v>92307.554999999993</v>
      </c>
      <c r="O43" s="85">
        <v>24947.988000000001</v>
      </c>
      <c r="P43" s="86">
        <v>26844.035</v>
      </c>
      <c r="Q43" s="85">
        <v>464032.576</v>
      </c>
      <c r="R43" s="85">
        <v>51392.855000000003</v>
      </c>
      <c r="S43" s="85">
        <v>8781.6919999999991</v>
      </c>
      <c r="T43" s="85">
        <v>164157.761</v>
      </c>
      <c r="U43" s="85">
        <v>149700</v>
      </c>
      <c r="V43" s="85">
        <v>49900</v>
      </c>
      <c r="W43" s="85">
        <v>0</v>
      </c>
      <c r="X43" s="85">
        <v>6276.4428201614128</v>
      </c>
      <c r="Y43" s="85">
        <v>10198452.999999998</v>
      </c>
      <c r="Z43" s="77">
        <v>98713.178</v>
      </c>
      <c r="AA43" s="78">
        <v>10297166.177999998</v>
      </c>
      <c r="AC43"/>
    </row>
    <row r="44" spans="1:29" x14ac:dyDescent="0.45">
      <c r="A44" s="13">
        <v>2012</v>
      </c>
      <c r="B44" s="85">
        <v>4547000</v>
      </c>
      <c r="C44" s="85">
        <v>93887</v>
      </c>
      <c r="D44" s="85">
        <v>133500</v>
      </c>
      <c r="E44" s="85">
        <v>0</v>
      </c>
      <c r="F44" s="85">
        <v>0</v>
      </c>
      <c r="G44" s="85">
        <v>0</v>
      </c>
      <c r="H44" s="85">
        <v>4160365</v>
      </c>
      <c r="I44" s="85">
        <v>465000</v>
      </c>
      <c r="J44" s="85">
        <v>40000</v>
      </c>
      <c r="K44" s="85">
        <v>19613</v>
      </c>
      <c r="L44" s="85">
        <v>0</v>
      </c>
      <c r="M44" s="85">
        <v>3500</v>
      </c>
      <c r="N44" s="77">
        <v>92500</v>
      </c>
      <c r="O44" s="85">
        <v>25000</v>
      </c>
      <c r="P44" s="86">
        <v>26900</v>
      </c>
      <c r="Q44" s="85">
        <v>465000</v>
      </c>
      <c r="R44" s="85">
        <v>51500</v>
      </c>
      <c r="S44" s="85">
        <v>8800</v>
      </c>
      <c r="T44" s="85">
        <v>164500</v>
      </c>
      <c r="U44" s="85">
        <v>150000</v>
      </c>
      <c r="V44" s="85">
        <v>0</v>
      </c>
      <c r="W44" s="85">
        <v>0</v>
      </c>
      <c r="X44" s="85">
        <v>4000</v>
      </c>
      <c r="Y44" s="85">
        <v>10451065</v>
      </c>
      <c r="Z44" s="77">
        <v>98713</v>
      </c>
      <c r="AA44" s="78">
        <v>10549778</v>
      </c>
      <c r="AC44"/>
    </row>
    <row r="45" spans="1:29" x14ac:dyDescent="0.45">
      <c r="A45" s="13">
        <v>2013</v>
      </c>
      <c r="B45" s="85">
        <v>4465300</v>
      </c>
      <c r="C45" s="85">
        <v>104971</v>
      </c>
      <c r="D45" s="85">
        <v>254800</v>
      </c>
      <c r="E45" s="85">
        <v>10000</v>
      </c>
      <c r="F45" s="85">
        <v>0</v>
      </c>
      <c r="G45" s="85">
        <v>0</v>
      </c>
      <c r="H45" s="85">
        <v>4397950</v>
      </c>
      <c r="I45" s="85">
        <v>599500</v>
      </c>
      <c r="J45" s="85">
        <v>41698</v>
      </c>
      <c r="K45" s="85">
        <v>21928</v>
      </c>
      <c r="L45" s="85">
        <v>0</v>
      </c>
      <c r="M45" s="85">
        <v>3850</v>
      </c>
      <c r="N45" s="77">
        <v>0</v>
      </c>
      <c r="O45" s="85">
        <v>0</v>
      </c>
      <c r="P45" s="86">
        <v>0</v>
      </c>
      <c r="Q45" s="85">
        <v>525900</v>
      </c>
      <c r="R45" s="85">
        <v>0</v>
      </c>
      <c r="S45" s="85">
        <v>0</v>
      </c>
      <c r="T45" s="85">
        <v>0</v>
      </c>
      <c r="U45" s="85">
        <v>142154</v>
      </c>
      <c r="V45" s="85">
        <v>0</v>
      </c>
      <c r="W45" s="85">
        <v>0</v>
      </c>
      <c r="X45" s="85">
        <v>0</v>
      </c>
      <c r="Y45" s="85">
        <v>10568051</v>
      </c>
      <c r="Z45" s="77">
        <v>102713</v>
      </c>
      <c r="AA45" s="78">
        <v>10670764</v>
      </c>
      <c r="AC45"/>
    </row>
    <row r="46" spans="1:29" x14ac:dyDescent="0.45">
      <c r="A46" s="13">
        <v>2014</v>
      </c>
      <c r="B46" s="85">
        <v>4598800</v>
      </c>
      <c r="C46" s="85">
        <v>106543</v>
      </c>
      <c r="D46" s="85">
        <v>258300</v>
      </c>
      <c r="E46" s="85">
        <v>10000</v>
      </c>
      <c r="F46" s="85">
        <v>0</v>
      </c>
      <c r="G46" s="85">
        <v>0</v>
      </c>
      <c r="H46" s="85">
        <v>4458650</v>
      </c>
      <c r="I46" s="85">
        <v>598956</v>
      </c>
      <c r="J46" s="85">
        <v>41698</v>
      </c>
      <c r="K46" s="85">
        <v>22911</v>
      </c>
      <c r="L46" s="85">
        <v>0</v>
      </c>
      <c r="M46" s="85">
        <v>3850</v>
      </c>
      <c r="N46" s="77">
        <v>0</v>
      </c>
      <c r="O46" s="85">
        <v>0</v>
      </c>
      <c r="P46" s="86">
        <v>0</v>
      </c>
      <c r="Q46" s="85">
        <v>525900</v>
      </c>
      <c r="R46" s="85">
        <v>0</v>
      </c>
      <c r="S46" s="85">
        <v>0</v>
      </c>
      <c r="T46" s="85">
        <v>0</v>
      </c>
      <c r="U46" s="85">
        <v>148500</v>
      </c>
      <c r="V46" s="85">
        <v>0</v>
      </c>
      <c r="W46" s="85">
        <v>0</v>
      </c>
      <c r="X46" s="85">
        <v>0</v>
      </c>
      <c r="Y46" s="85">
        <v>10774108</v>
      </c>
      <c r="Z46" s="77">
        <v>104000</v>
      </c>
      <c r="AA46" s="78">
        <v>10878108</v>
      </c>
      <c r="AC46"/>
    </row>
    <row r="47" spans="1:29" x14ac:dyDescent="0.45">
      <c r="A47" s="13">
        <v>2015</v>
      </c>
      <c r="B47" s="85">
        <v>4676719</v>
      </c>
      <c r="C47" s="41">
        <v>106011</v>
      </c>
      <c r="D47" s="85">
        <v>257009</v>
      </c>
      <c r="E47" s="85">
        <v>10000</v>
      </c>
      <c r="F47" s="85">
        <v>0</v>
      </c>
      <c r="G47" s="85">
        <v>0</v>
      </c>
      <c r="H47" s="85">
        <v>4372917</v>
      </c>
      <c r="I47" s="85">
        <v>552938</v>
      </c>
      <c r="J47" s="85">
        <v>33000</v>
      </c>
      <c r="K47" s="85">
        <v>22145</v>
      </c>
      <c r="L47" s="85">
        <v>0</v>
      </c>
      <c r="M47" s="85">
        <v>3850</v>
      </c>
      <c r="N47" s="77">
        <v>0</v>
      </c>
      <c r="O47" s="85">
        <v>0</v>
      </c>
      <c r="P47" s="86">
        <v>0</v>
      </c>
      <c r="Q47" s="85">
        <v>525900</v>
      </c>
      <c r="R47" s="85">
        <v>0</v>
      </c>
      <c r="S47" s="85">
        <v>0</v>
      </c>
      <c r="T47" s="85">
        <v>0</v>
      </c>
      <c r="U47" s="85">
        <v>148500</v>
      </c>
      <c r="V47" s="85">
        <v>0</v>
      </c>
      <c r="W47" s="85">
        <v>0</v>
      </c>
      <c r="X47" s="85">
        <v>0</v>
      </c>
      <c r="Y47" s="85">
        <v>10708989</v>
      </c>
      <c r="Z47" s="77">
        <v>105933</v>
      </c>
      <c r="AA47" s="78">
        <v>10814922</v>
      </c>
      <c r="AC47"/>
    </row>
    <row r="48" spans="1:29" x14ac:dyDescent="0.45">
      <c r="A48" s="13">
        <v>2016</v>
      </c>
      <c r="B48" s="85">
        <v>5064960</v>
      </c>
      <c r="C48" s="41">
        <v>107601</v>
      </c>
      <c r="D48" s="85">
        <v>261635</v>
      </c>
      <c r="E48" s="85">
        <v>10000</v>
      </c>
      <c r="F48" s="85">
        <v>0</v>
      </c>
      <c r="G48" s="85">
        <v>0</v>
      </c>
      <c r="H48" s="85">
        <v>4452169</v>
      </c>
      <c r="I48" s="85">
        <v>556897</v>
      </c>
      <c r="J48" s="85">
        <v>33000</v>
      </c>
      <c r="K48" s="85">
        <v>22478</v>
      </c>
      <c r="L48" s="85">
        <v>0</v>
      </c>
      <c r="M48" s="85">
        <v>3850</v>
      </c>
      <c r="N48" s="77">
        <v>0</v>
      </c>
      <c r="O48" s="85">
        <v>0</v>
      </c>
      <c r="P48" s="86">
        <v>0</v>
      </c>
      <c r="Q48" s="85">
        <v>536262</v>
      </c>
      <c r="R48" s="85">
        <v>0</v>
      </c>
      <c r="S48" s="85">
        <v>0</v>
      </c>
      <c r="T48" s="85">
        <v>0</v>
      </c>
      <c r="U48" s="85">
        <v>148500</v>
      </c>
      <c r="V48" s="85">
        <v>0</v>
      </c>
      <c r="W48" s="85">
        <v>0</v>
      </c>
      <c r="X48" s="85">
        <v>0</v>
      </c>
      <c r="Y48" s="85">
        <v>11197352</v>
      </c>
      <c r="Z48" s="77">
        <v>108000</v>
      </c>
      <c r="AA48" s="78">
        <f>Y48+Z48</f>
        <v>11305352</v>
      </c>
      <c r="AC48"/>
    </row>
    <row r="49" spans="1:29" x14ac:dyDescent="0.45">
      <c r="A49" s="13">
        <v>2017</v>
      </c>
      <c r="B49" s="85">
        <v>5462726</v>
      </c>
      <c r="C49" s="85">
        <v>109795</v>
      </c>
      <c r="D49" s="85">
        <v>266867</v>
      </c>
      <c r="E49" s="85">
        <v>10000</v>
      </c>
      <c r="F49" s="85">
        <v>0</v>
      </c>
      <c r="G49" s="85">
        <v>0</v>
      </c>
      <c r="H49" s="85">
        <v>4541813</v>
      </c>
      <c r="I49" s="85">
        <v>592296</v>
      </c>
      <c r="J49" s="85">
        <v>33000</v>
      </c>
      <c r="K49" s="85">
        <v>22936</v>
      </c>
      <c r="L49" s="85">
        <v>0</v>
      </c>
      <c r="M49" s="85">
        <v>3850</v>
      </c>
      <c r="N49" s="85">
        <v>0</v>
      </c>
      <c r="O49" s="95">
        <v>0</v>
      </c>
      <c r="P49" s="85">
        <v>0</v>
      </c>
      <c r="Q49" s="96">
        <v>544434</v>
      </c>
      <c r="R49" s="85">
        <v>0</v>
      </c>
      <c r="S49" s="85">
        <v>0</v>
      </c>
      <c r="T49" s="85">
        <v>0</v>
      </c>
      <c r="U49" s="85">
        <v>148500</v>
      </c>
      <c r="V49" s="85">
        <v>0</v>
      </c>
      <c r="W49" s="85">
        <v>0</v>
      </c>
      <c r="X49" s="85">
        <v>0</v>
      </c>
      <c r="Y49" s="85">
        <v>11736218</v>
      </c>
      <c r="Z49" s="77">
        <v>109000</v>
      </c>
      <c r="AA49" s="78">
        <f t="shared" ref="AA49" si="0">Y49+Z49</f>
        <v>11845218</v>
      </c>
      <c r="AC49"/>
    </row>
    <row r="50" spans="1:29" x14ac:dyDescent="0.45">
      <c r="A50" s="13">
        <v>2018</v>
      </c>
      <c r="B50" s="85">
        <v>6236990</v>
      </c>
      <c r="C50" s="85">
        <v>112101</v>
      </c>
      <c r="D50" s="85">
        <v>272472</v>
      </c>
      <c r="E50" s="85">
        <v>10000</v>
      </c>
      <c r="F50" s="85">
        <v>0</v>
      </c>
      <c r="G50" s="85">
        <v>0</v>
      </c>
      <c r="H50" s="85">
        <v>4637821</v>
      </c>
      <c r="I50" s="85">
        <v>608697</v>
      </c>
      <c r="J50" s="85">
        <v>33250</v>
      </c>
      <c r="K50" s="85">
        <v>23535</v>
      </c>
      <c r="L50" s="85">
        <v>0</v>
      </c>
      <c r="M50" s="85">
        <v>3850</v>
      </c>
      <c r="N50" s="85">
        <v>0</v>
      </c>
      <c r="O50" s="95">
        <v>0</v>
      </c>
      <c r="P50" s="85">
        <v>0</v>
      </c>
      <c r="Q50" s="96">
        <v>582784</v>
      </c>
      <c r="R50" s="85">
        <v>0</v>
      </c>
      <c r="S50" s="85">
        <v>0</v>
      </c>
      <c r="T50" s="85">
        <v>0</v>
      </c>
      <c r="U50" s="85">
        <v>148500</v>
      </c>
      <c r="V50" s="85">
        <v>0</v>
      </c>
      <c r="W50" s="85">
        <v>0</v>
      </c>
      <c r="X50" s="85">
        <v>0</v>
      </c>
      <c r="Y50" s="85">
        <f>SUM(B50:X50)</f>
        <v>12670000</v>
      </c>
      <c r="Z50" s="77">
        <v>111000</v>
      </c>
      <c r="AA50" s="78">
        <f>Y50+Z50</f>
        <v>12781000</v>
      </c>
      <c r="AC50"/>
    </row>
    <row r="51" spans="1:29" x14ac:dyDescent="0.45">
      <c r="A51" s="13">
        <v>2019</v>
      </c>
      <c r="B51" s="85">
        <v>6009875</v>
      </c>
      <c r="C51" s="85">
        <v>114478</v>
      </c>
      <c r="D51" s="85">
        <v>278247</v>
      </c>
      <c r="E51" s="85">
        <v>10000</v>
      </c>
      <c r="F51" s="85">
        <v>0</v>
      </c>
      <c r="G51" s="85">
        <v>0</v>
      </c>
      <c r="H51" s="85">
        <v>4744753</v>
      </c>
      <c r="I51" s="85">
        <v>632863</v>
      </c>
      <c r="J51" s="85">
        <v>37500</v>
      </c>
      <c r="K51" s="85">
        <v>23914</v>
      </c>
      <c r="L51" s="85">
        <v>0</v>
      </c>
      <c r="M51" s="85">
        <v>3850</v>
      </c>
      <c r="N51" s="85">
        <v>0</v>
      </c>
      <c r="O51" s="95">
        <v>0</v>
      </c>
      <c r="P51" s="85">
        <v>0</v>
      </c>
      <c r="Q51" s="97">
        <v>601315</v>
      </c>
      <c r="R51" s="85">
        <v>0</v>
      </c>
      <c r="S51" s="85">
        <v>0</v>
      </c>
      <c r="T51" s="85">
        <v>0</v>
      </c>
      <c r="U51" s="85">
        <v>148500</v>
      </c>
      <c r="V51" s="85">
        <v>0</v>
      </c>
      <c r="W51" s="85">
        <v>0</v>
      </c>
      <c r="X51" s="85">
        <v>0</v>
      </c>
      <c r="Y51" s="85">
        <f>SUM(B51:X51)</f>
        <v>12605295</v>
      </c>
      <c r="Z51" s="77">
        <v>113165</v>
      </c>
      <c r="AA51" s="78">
        <f>Y51+Z51</f>
        <v>12718460</v>
      </c>
      <c r="AC51"/>
    </row>
    <row r="52" spans="1:29" s="105" customFormat="1" ht="14.65" thickBot="1" x14ac:dyDescent="0.5">
      <c r="A52" s="98">
        <v>2020</v>
      </c>
      <c r="B52" s="99">
        <v>5243045</v>
      </c>
      <c r="C52" s="99">
        <v>123182</v>
      </c>
      <c r="D52" s="99">
        <v>288155</v>
      </c>
      <c r="E52" s="99">
        <v>10000</v>
      </c>
      <c r="F52" s="99">
        <v>0</v>
      </c>
      <c r="G52" s="99">
        <v>0</v>
      </c>
      <c r="H52" s="99">
        <v>4847152</v>
      </c>
      <c r="I52" s="99">
        <v>641549</v>
      </c>
      <c r="J52" s="99">
        <v>40000</v>
      </c>
      <c r="K52" s="99">
        <v>24421</v>
      </c>
      <c r="L52" s="99">
        <v>0</v>
      </c>
      <c r="M52" s="99">
        <v>3850</v>
      </c>
      <c r="N52" s="99">
        <v>0</v>
      </c>
      <c r="O52" s="100">
        <v>0</v>
      </c>
      <c r="P52" s="99">
        <v>0</v>
      </c>
      <c r="Q52" s="101">
        <v>610033</v>
      </c>
      <c r="R52" s="99">
        <v>0</v>
      </c>
      <c r="S52" s="99">
        <v>0</v>
      </c>
      <c r="T52" s="99">
        <v>0</v>
      </c>
      <c r="U52" s="99">
        <v>148500</v>
      </c>
      <c r="V52" s="99">
        <v>0</v>
      </c>
      <c r="W52" s="99">
        <v>0</v>
      </c>
      <c r="X52" s="99">
        <v>0</v>
      </c>
      <c r="Y52" s="99">
        <f>SUM(B52:X52)</f>
        <v>11979887</v>
      </c>
      <c r="Z52" s="102">
        <v>120185</v>
      </c>
      <c r="AA52" s="103">
        <f>Y52+Z52</f>
        <v>12100072</v>
      </c>
      <c r="AB52" s="104"/>
    </row>
    <row r="53" spans="1:29" ht="14.65" thickTop="1" x14ac:dyDescent="0.45">
      <c r="A53" s="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6"/>
      <c r="Q53" s="108"/>
      <c r="R53" s="106"/>
      <c r="S53" s="106"/>
      <c r="T53" s="106"/>
      <c r="U53" s="106"/>
      <c r="V53" s="106"/>
      <c r="W53" s="106"/>
      <c r="X53" s="106"/>
      <c r="Y53" s="106"/>
      <c r="Z53" s="109"/>
      <c r="AA53" s="110"/>
      <c r="AC53"/>
    </row>
    <row r="54" spans="1:29" x14ac:dyDescent="0.45">
      <c r="A54" s="13" t="s">
        <v>72</v>
      </c>
      <c r="B54" s="111">
        <f>SUM(B12:B52)</f>
        <v>118077118.368</v>
      </c>
      <c r="C54" s="111">
        <f t="shared" ref="C54:X54" si="1">SUM(C12:C52)</f>
        <v>2749542.7379999999</v>
      </c>
      <c r="D54" s="111">
        <f t="shared" si="1"/>
        <v>4344923.5120000001</v>
      </c>
      <c r="E54" s="111">
        <f t="shared" si="1"/>
        <v>80000</v>
      </c>
      <c r="F54" s="111">
        <f t="shared" si="1"/>
        <v>69285</v>
      </c>
      <c r="G54" s="111">
        <f t="shared" si="1"/>
        <v>5425250</v>
      </c>
      <c r="H54" s="111">
        <f t="shared" si="1"/>
        <v>116185222.87799999</v>
      </c>
      <c r="I54" s="111">
        <f t="shared" si="1"/>
        <v>11151838.152000001</v>
      </c>
      <c r="J54" s="111">
        <f t="shared" si="1"/>
        <v>1816592.5571798387</v>
      </c>
      <c r="K54" s="111">
        <f t="shared" si="1"/>
        <v>314484.99199999997</v>
      </c>
      <c r="L54" s="111">
        <f t="shared" si="1"/>
        <v>3908880</v>
      </c>
      <c r="M54" s="111">
        <f t="shared" si="1"/>
        <v>55250.436000000002</v>
      </c>
      <c r="N54" s="111">
        <f t="shared" si="1"/>
        <v>615835.11</v>
      </c>
      <c r="O54" s="112">
        <f t="shared" si="1"/>
        <v>174336.976</v>
      </c>
      <c r="P54" s="111">
        <f t="shared" si="1"/>
        <v>177268.07</v>
      </c>
      <c r="Q54" s="113">
        <f t="shared" si="1"/>
        <v>7536713.1519999998</v>
      </c>
      <c r="R54" s="111">
        <f t="shared" si="1"/>
        <v>291113.71000000002</v>
      </c>
      <c r="S54" s="111">
        <f t="shared" si="1"/>
        <v>96536.383999999991</v>
      </c>
      <c r="T54" s="111">
        <f t="shared" si="1"/>
        <v>1801414.5219999999</v>
      </c>
      <c r="U54" s="111">
        <f t="shared" si="1"/>
        <v>4631057</v>
      </c>
      <c r="V54" s="111">
        <f t="shared" si="1"/>
        <v>124900</v>
      </c>
      <c r="W54" s="111">
        <f t="shared" si="1"/>
        <v>1923500</v>
      </c>
      <c r="X54" s="111">
        <f t="shared" si="1"/>
        <v>149986.44282016141</v>
      </c>
      <c r="Y54" s="111">
        <f>SUM(Y12:Y52)</f>
        <v>281701051</v>
      </c>
      <c r="Z54" s="111">
        <f>SUM(Z12:Z52)</f>
        <v>2612334.1780000003</v>
      </c>
      <c r="AA54" s="114">
        <f>SUM(AA12:AA52)</f>
        <v>284313385.17799997</v>
      </c>
      <c r="AB54" s="85" t="s">
        <v>5</v>
      </c>
      <c r="AC54"/>
    </row>
    <row r="55" spans="1:29" ht="14.65" thickBot="1" x14ac:dyDescent="0.5">
      <c r="A55" s="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6"/>
      <c r="P55" s="115"/>
      <c r="Q55" s="117"/>
      <c r="R55" s="115"/>
      <c r="S55" s="115"/>
      <c r="T55" s="115"/>
      <c r="U55" s="115"/>
      <c r="V55" s="115"/>
      <c r="W55" s="115"/>
      <c r="X55" s="115"/>
      <c r="Y55" s="115"/>
      <c r="Z55" s="115"/>
      <c r="AA55" s="118"/>
      <c r="AB55" s="85"/>
      <c r="AC55"/>
    </row>
    <row r="56" spans="1:29" ht="14.65" thickTop="1" x14ac:dyDescent="0.4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106"/>
      <c r="S56" s="106"/>
      <c r="T56" s="85"/>
      <c r="U56" s="85"/>
      <c r="V56" s="85"/>
      <c r="W56" s="85"/>
      <c r="X56" s="85"/>
      <c r="Z56" s="85"/>
      <c r="AA56" s="85"/>
    </row>
    <row r="57" spans="1:29" s="123" customFormat="1" ht="57" x14ac:dyDescent="0.45">
      <c r="A57" s="119"/>
      <c r="B57" s="231" t="s">
        <v>161</v>
      </c>
      <c r="C57" s="121" t="s">
        <v>79</v>
      </c>
      <c r="D57" s="121" t="s">
        <v>79</v>
      </c>
      <c r="E57" s="121" t="s">
        <v>80</v>
      </c>
      <c r="F57" s="120">
        <v>0</v>
      </c>
      <c r="G57" s="122">
        <v>0</v>
      </c>
      <c r="H57" s="121" t="s">
        <v>81</v>
      </c>
      <c r="I57" s="121" t="s">
        <v>82</v>
      </c>
      <c r="J57" s="121" t="s">
        <v>83</v>
      </c>
      <c r="K57" s="121" t="s">
        <v>80</v>
      </c>
      <c r="L57" s="122">
        <v>0</v>
      </c>
      <c r="M57" s="122" t="s">
        <v>170</v>
      </c>
      <c r="N57" s="122">
        <v>0</v>
      </c>
      <c r="O57" s="122">
        <v>0</v>
      </c>
      <c r="P57" s="122">
        <v>0</v>
      </c>
      <c r="Q57" s="121" t="s">
        <v>83</v>
      </c>
      <c r="R57" s="122">
        <v>0</v>
      </c>
      <c r="S57" s="122">
        <v>0</v>
      </c>
      <c r="T57" s="122">
        <v>0</v>
      </c>
      <c r="U57" s="121" t="s">
        <v>80</v>
      </c>
      <c r="V57" s="122">
        <v>0</v>
      </c>
      <c r="W57" s="122">
        <v>0</v>
      </c>
      <c r="X57" s="122">
        <v>0</v>
      </c>
      <c r="Y57" s="120" t="s">
        <v>174</v>
      </c>
      <c r="Z57" s="122" t="s">
        <v>173</v>
      </c>
      <c r="AA57" s="120" t="s">
        <v>97</v>
      </c>
      <c r="AB57" s="119"/>
      <c r="AC57" s="119"/>
    </row>
    <row r="58" spans="1:29" s="123" customFormat="1" ht="114" x14ac:dyDescent="0.45">
      <c r="A58" s="119"/>
      <c r="B58" s="231" t="s">
        <v>84</v>
      </c>
      <c r="C58" s="124" t="s">
        <v>85</v>
      </c>
      <c r="D58" s="124" t="s">
        <v>86</v>
      </c>
      <c r="E58" s="124" t="s">
        <v>87</v>
      </c>
      <c r="F58" s="120">
        <v>0</v>
      </c>
      <c r="G58" s="120">
        <v>0</v>
      </c>
      <c r="H58" s="119" t="s">
        <v>88</v>
      </c>
      <c r="I58" s="119" t="s">
        <v>89</v>
      </c>
      <c r="J58" s="119" t="s">
        <v>90</v>
      </c>
      <c r="K58" s="119" t="s">
        <v>91</v>
      </c>
      <c r="L58" s="120">
        <v>0</v>
      </c>
      <c r="M58" s="120"/>
      <c r="N58" s="120">
        <v>0</v>
      </c>
      <c r="O58" s="120">
        <v>0</v>
      </c>
      <c r="P58" s="120">
        <v>0</v>
      </c>
      <c r="Q58" s="119" t="s">
        <v>92</v>
      </c>
      <c r="R58" s="120">
        <v>0</v>
      </c>
      <c r="S58" s="120">
        <v>0</v>
      </c>
      <c r="T58" s="120">
        <v>0</v>
      </c>
      <c r="U58" s="119" t="s">
        <v>93</v>
      </c>
      <c r="V58" s="120">
        <v>0</v>
      </c>
      <c r="W58" s="120">
        <v>0</v>
      </c>
      <c r="X58" s="120">
        <v>0</v>
      </c>
      <c r="Y58" s="120"/>
      <c r="Z58" s="120"/>
      <c r="AA58" s="120"/>
      <c r="AB58" s="119"/>
      <c r="AC58" s="119"/>
    </row>
    <row r="59" spans="1:29" s="123" customFormat="1" ht="71.25" x14ac:dyDescent="0.45">
      <c r="A59" s="119"/>
      <c r="B59" s="231" t="s">
        <v>94</v>
      </c>
      <c r="C59" s="119"/>
      <c r="D59" s="119"/>
      <c r="E59" s="119"/>
      <c r="F59" s="119"/>
      <c r="G59" s="119"/>
      <c r="H59" s="119"/>
      <c r="I59" s="119"/>
      <c r="J59" s="119" t="s">
        <v>95</v>
      </c>
      <c r="K59" s="119"/>
      <c r="L59" s="119"/>
      <c r="M59" s="125" t="s">
        <v>96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20"/>
      <c r="AB59" s="119"/>
      <c r="AC59" s="119"/>
    </row>
    <row r="60" spans="1:29" s="123" customFormat="1" ht="57" x14ac:dyDescent="0.45">
      <c r="A60" s="119"/>
      <c r="B60" s="231" t="s">
        <v>98</v>
      </c>
      <c r="C60" s="119"/>
      <c r="D60" s="119"/>
      <c r="E60" s="119"/>
      <c r="F60" s="119"/>
      <c r="G60" s="119"/>
      <c r="H60" s="119"/>
      <c r="I60" s="120" t="s">
        <v>99</v>
      </c>
      <c r="J60" s="119" t="s">
        <v>100</v>
      </c>
      <c r="K60" s="119"/>
      <c r="L60" s="119"/>
      <c r="M60" s="125" t="s">
        <v>160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</row>
    <row r="61" spans="1:29" s="123" customFormat="1" ht="85.5" x14ac:dyDescent="0.45">
      <c r="A61" s="119"/>
      <c r="C61" s="119"/>
      <c r="D61" s="119"/>
      <c r="E61" s="119"/>
      <c r="F61" s="119"/>
      <c r="G61" s="119"/>
      <c r="H61" s="119"/>
      <c r="I61" s="119"/>
      <c r="J61" s="119" t="s">
        <v>101</v>
      </c>
      <c r="K61" s="119"/>
      <c r="L61" s="119"/>
      <c r="M61" s="125" t="s">
        <v>159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</row>
    <row r="62" spans="1:29" s="123" customFormat="1" ht="57" x14ac:dyDescent="0.45">
      <c r="A62" s="119"/>
      <c r="C62" s="119"/>
      <c r="D62" s="119"/>
      <c r="E62" s="119"/>
      <c r="F62" s="119"/>
      <c r="G62" s="119"/>
      <c r="H62" s="119"/>
      <c r="I62" s="119"/>
      <c r="J62" s="119" t="s">
        <v>102</v>
      </c>
      <c r="K62" s="119"/>
      <c r="L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</row>
    <row r="63" spans="1:29" s="123" customFormat="1" x14ac:dyDescent="0.45">
      <c r="A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</row>
    <row r="64" spans="1:29" s="123" customFormat="1" x14ac:dyDescent="0.45">
      <c r="A64" s="119"/>
      <c r="B64" s="119"/>
      <c r="C64" s="119"/>
      <c r="D64" s="119"/>
      <c r="E64" s="119"/>
      <c r="F64" s="119"/>
      <c r="G64" s="119"/>
      <c r="H64" s="119"/>
      <c r="I64" s="119"/>
      <c r="J64" s="120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</row>
    <row r="65" spans="1:29" s="123" customFormat="1" x14ac:dyDescent="0.4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</row>
    <row r="66" spans="1:29" s="123" customFormat="1" x14ac:dyDescent="0.4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</row>
  </sheetData>
  <mergeCells count="5">
    <mergeCell ref="P1:AB1"/>
    <mergeCell ref="A3:O3"/>
    <mergeCell ref="P3:AB3"/>
    <mergeCell ref="A4:O4"/>
    <mergeCell ref="P4:AB4"/>
  </mergeCells>
  <hyperlinks>
    <hyperlink ref="M59" r:id="rId1" xr:uid="{A46ACD92-7291-42CF-8FB2-2B5EB26B9F80}"/>
    <hyperlink ref="M60" r:id="rId2" xr:uid="{C2F30F96-4476-4E80-9DDF-D74A40309FED}"/>
    <hyperlink ref="M61" r:id="rId3" xr:uid="{926FF38E-0012-4465-9B09-6B9C56519539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36FAD-C641-47CE-9C9F-6218721D5B30}">
  <dimension ref="A1:G262"/>
  <sheetViews>
    <sheetView workbookViewId="0">
      <selection sqref="A1:D1"/>
    </sheetView>
  </sheetViews>
  <sheetFormatPr defaultColWidth="9.19921875" defaultRowHeight="14.25" x14ac:dyDescent="0.45"/>
  <cols>
    <col min="1" max="1" width="15" customWidth="1"/>
    <col min="2" max="2" width="33.53125" customWidth="1"/>
    <col min="3" max="3" width="42.53125" customWidth="1"/>
    <col min="4" max="4" width="28" style="183" customWidth="1"/>
    <col min="5" max="5" width="22.796875" customWidth="1"/>
    <col min="6" max="6" width="15" bestFit="1" customWidth="1"/>
    <col min="7" max="7" width="26.73046875" customWidth="1"/>
    <col min="128" max="128" width="9.265625" customWidth="1"/>
    <col min="129" max="129" width="9.19921875" customWidth="1"/>
    <col min="130" max="130" width="23.796875" customWidth="1"/>
    <col min="131" max="131" width="61" customWidth="1"/>
    <col min="132" max="132" width="29.46484375" customWidth="1"/>
    <col min="133" max="133" width="2.73046875" customWidth="1"/>
    <col min="135" max="135" width="27.73046875" customWidth="1"/>
    <col min="137" max="137" width="20.46484375" customWidth="1"/>
    <col min="138" max="138" width="11" customWidth="1"/>
    <col min="139" max="139" width="13.19921875" customWidth="1"/>
    <col min="140" max="140" width="12.19921875" customWidth="1"/>
    <col min="384" max="384" width="9.265625" customWidth="1"/>
    <col min="385" max="385" width="9.19921875" customWidth="1"/>
    <col min="386" max="386" width="23.796875" customWidth="1"/>
    <col min="387" max="387" width="61" customWidth="1"/>
    <col min="388" max="388" width="29.46484375" customWidth="1"/>
    <col min="389" max="389" width="2.73046875" customWidth="1"/>
    <col min="391" max="391" width="27.73046875" customWidth="1"/>
    <col min="393" max="393" width="20.46484375" customWidth="1"/>
    <col min="394" max="394" width="11" customWidth="1"/>
    <col min="395" max="395" width="13.19921875" customWidth="1"/>
    <col min="396" max="396" width="12.19921875" customWidth="1"/>
    <col min="640" max="640" width="9.265625" customWidth="1"/>
    <col min="641" max="641" width="9.19921875" customWidth="1"/>
    <col min="642" max="642" width="23.796875" customWidth="1"/>
    <col min="643" max="643" width="61" customWidth="1"/>
    <col min="644" max="644" width="29.46484375" customWidth="1"/>
    <col min="645" max="645" width="2.73046875" customWidth="1"/>
    <col min="647" max="647" width="27.73046875" customWidth="1"/>
    <col min="649" max="649" width="20.46484375" customWidth="1"/>
    <col min="650" max="650" width="11" customWidth="1"/>
    <col min="651" max="651" width="13.19921875" customWidth="1"/>
    <col min="652" max="652" width="12.19921875" customWidth="1"/>
    <col min="896" max="896" width="9.265625" customWidth="1"/>
    <col min="897" max="897" width="9.19921875" customWidth="1"/>
    <col min="898" max="898" width="23.796875" customWidth="1"/>
    <col min="899" max="899" width="61" customWidth="1"/>
    <col min="900" max="900" width="29.46484375" customWidth="1"/>
    <col min="901" max="901" width="2.73046875" customWidth="1"/>
    <col min="903" max="903" width="27.73046875" customWidth="1"/>
    <col min="905" max="905" width="20.46484375" customWidth="1"/>
    <col min="906" max="906" width="11" customWidth="1"/>
    <col min="907" max="907" width="13.19921875" customWidth="1"/>
    <col min="908" max="908" width="12.19921875" customWidth="1"/>
    <col min="1152" max="1152" width="9.265625" customWidth="1"/>
    <col min="1153" max="1153" width="9.19921875" customWidth="1"/>
    <col min="1154" max="1154" width="23.796875" customWidth="1"/>
    <col min="1155" max="1155" width="61" customWidth="1"/>
    <col min="1156" max="1156" width="29.46484375" customWidth="1"/>
    <col min="1157" max="1157" width="2.73046875" customWidth="1"/>
    <col min="1159" max="1159" width="27.73046875" customWidth="1"/>
    <col min="1161" max="1161" width="20.46484375" customWidth="1"/>
    <col min="1162" max="1162" width="11" customWidth="1"/>
    <col min="1163" max="1163" width="13.19921875" customWidth="1"/>
    <col min="1164" max="1164" width="12.19921875" customWidth="1"/>
    <col min="1408" max="1408" width="9.265625" customWidth="1"/>
    <col min="1409" max="1409" width="9.19921875" customWidth="1"/>
    <col min="1410" max="1410" width="23.796875" customWidth="1"/>
    <col min="1411" max="1411" width="61" customWidth="1"/>
    <col min="1412" max="1412" width="29.46484375" customWidth="1"/>
    <col min="1413" max="1413" width="2.73046875" customWidth="1"/>
    <col min="1415" max="1415" width="27.73046875" customWidth="1"/>
    <col min="1417" max="1417" width="20.46484375" customWidth="1"/>
    <col min="1418" max="1418" width="11" customWidth="1"/>
    <col min="1419" max="1419" width="13.19921875" customWidth="1"/>
    <col min="1420" max="1420" width="12.19921875" customWidth="1"/>
    <col min="1664" max="1664" width="9.265625" customWidth="1"/>
    <col min="1665" max="1665" width="9.19921875" customWidth="1"/>
    <col min="1666" max="1666" width="23.796875" customWidth="1"/>
    <col min="1667" max="1667" width="61" customWidth="1"/>
    <col min="1668" max="1668" width="29.46484375" customWidth="1"/>
    <col min="1669" max="1669" width="2.73046875" customWidth="1"/>
    <col min="1671" max="1671" width="27.73046875" customWidth="1"/>
    <col min="1673" max="1673" width="20.46484375" customWidth="1"/>
    <col min="1674" max="1674" width="11" customWidth="1"/>
    <col min="1675" max="1675" width="13.19921875" customWidth="1"/>
    <col min="1676" max="1676" width="12.19921875" customWidth="1"/>
    <col min="1920" max="1920" width="9.265625" customWidth="1"/>
    <col min="1921" max="1921" width="9.19921875" customWidth="1"/>
    <col min="1922" max="1922" width="23.796875" customWidth="1"/>
    <col min="1923" max="1923" width="61" customWidth="1"/>
    <col min="1924" max="1924" width="29.46484375" customWidth="1"/>
    <col min="1925" max="1925" width="2.73046875" customWidth="1"/>
    <col min="1927" max="1927" width="27.73046875" customWidth="1"/>
    <col min="1929" max="1929" width="20.46484375" customWidth="1"/>
    <col min="1930" max="1930" width="11" customWidth="1"/>
    <col min="1931" max="1931" width="13.19921875" customWidth="1"/>
    <col min="1932" max="1932" width="12.19921875" customWidth="1"/>
    <col min="2176" max="2176" width="9.265625" customWidth="1"/>
    <col min="2177" max="2177" width="9.19921875" customWidth="1"/>
    <col min="2178" max="2178" width="23.796875" customWidth="1"/>
    <col min="2179" max="2179" width="61" customWidth="1"/>
    <col min="2180" max="2180" width="29.46484375" customWidth="1"/>
    <col min="2181" max="2181" width="2.73046875" customWidth="1"/>
    <col min="2183" max="2183" width="27.73046875" customWidth="1"/>
    <col min="2185" max="2185" width="20.46484375" customWidth="1"/>
    <col min="2186" max="2186" width="11" customWidth="1"/>
    <col min="2187" max="2187" width="13.19921875" customWidth="1"/>
    <col min="2188" max="2188" width="12.19921875" customWidth="1"/>
    <col min="2432" max="2432" width="9.265625" customWidth="1"/>
    <col min="2433" max="2433" width="9.19921875" customWidth="1"/>
    <col min="2434" max="2434" width="23.796875" customWidth="1"/>
    <col min="2435" max="2435" width="61" customWidth="1"/>
    <col min="2436" max="2436" width="29.46484375" customWidth="1"/>
    <col min="2437" max="2437" width="2.73046875" customWidth="1"/>
    <col min="2439" max="2439" width="27.73046875" customWidth="1"/>
    <col min="2441" max="2441" width="20.46484375" customWidth="1"/>
    <col min="2442" max="2442" width="11" customWidth="1"/>
    <col min="2443" max="2443" width="13.19921875" customWidth="1"/>
    <col min="2444" max="2444" width="12.19921875" customWidth="1"/>
    <col min="2688" max="2688" width="9.265625" customWidth="1"/>
    <col min="2689" max="2689" width="9.19921875" customWidth="1"/>
    <col min="2690" max="2690" width="23.796875" customWidth="1"/>
    <col min="2691" max="2691" width="61" customWidth="1"/>
    <col min="2692" max="2692" width="29.46484375" customWidth="1"/>
    <col min="2693" max="2693" width="2.73046875" customWidth="1"/>
    <col min="2695" max="2695" width="27.73046875" customWidth="1"/>
    <col min="2697" max="2697" width="20.46484375" customWidth="1"/>
    <col min="2698" max="2698" width="11" customWidth="1"/>
    <col min="2699" max="2699" width="13.19921875" customWidth="1"/>
    <col min="2700" max="2700" width="12.19921875" customWidth="1"/>
    <col min="2944" max="2944" width="9.265625" customWidth="1"/>
    <col min="2945" max="2945" width="9.19921875" customWidth="1"/>
    <col min="2946" max="2946" width="23.796875" customWidth="1"/>
    <col min="2947" max="2947" width="61" customWidth="1"/>
    <col min="2948" max="2948" width="29.46484375" customWidth="1"/>
    <col min="2949" max="2949" width="2.73046875" customWidth="1"/>
    <col min="2951" max="2951" width="27.73046875" customWidth="1"/>
    <col min="2953" max="2953" width="20.46484375" customWidth="1"/>
    <col min="2954" max="2954" width="11" customWidth="1"/>
    <col min="2955" max="2955" width="13.19921875" customWidth="1"/>
    <col min="2956" max="2956" width="12.19921875" customWidth="1"/>
    <col min="3200" max="3200" width="9.265625" customWidth="1"/>
    <col min="3201" max="3201" width="9.19921875" customWidth="1"/>
    <col min="3202" max="3202" width="23.796875" customWidth="1"/>
    <col min="3203" max="3203" width="61" customWidth="1"/>
    <col min="3204" max="3204" width="29.46484375" customWidth="1"/>
    <col min="3205" max="3205" width="2.73046875" customWidth="1"/>
    <col min="3207" max="3207" width="27.73046875" customWidth="1"/>
    <col min="3209" max="3209" width="20.46484375" customWidth="1"/>
    <col min="3210" max="3210" width="11" customWidth="1"/>
    <col min="3211" max="3211" width="13.19921875" customWidth="1"/>
    <col min="3212" max="3212" width="12.19921875" customWidth="1"/>
    <col min="3456" max="3456" width="9.265625" customWidth="1"/>
    <col min="3457" max="3457" width="9.19921875" customWidth="1"/>
    <col min="3458" max="3458" width="23.796875" customWidth="1"/>
    <col min="3459" max="3459" width="61" customWidth="1"/>
    <col min="3460" max="3460" width="29.46484375" customWidth="1"/>
    <col min="3461" max="3461" width="2.73046875" customWidth="1"/>
    <col min="3463" max="3463" width="27.73046875" customWidth="1"/>
    <col min="3465" max="3465" width="20.46484375" customWidth="1"/>
    <col min="3466" max="3466" width="11" customWidth="1"/>
    <col min="3467" max="3467" width="13.19921875" customWidth="1"/>
    <col min="3468" max="3468" width="12.19921875" customWidth="1"/>
    <col min="3712" max="3712" width="9.265625" customWidth="1"/>
    <col min="3713" max="3713" width="9.19921875" customWidth="1"/>
    <col min="3714" max="3714" width="23.796875" customWidth="1"/>
    <col min="3715" max="3715" width="61" customWidth="1"/>
    <col min="3716" max="3716" width="29.46484375" customWidth="1"/>
    <col min="3717" max="3717" width="2.73046875" customWidth="1"/>
    <col min="3719" max="3719" width="27.73046875" customWidth="1"/>
    <col min="3721" max="3721" width="20.46484375" customWidth="1"/>
    <col min="3722" max="3722" width="11" customWidth="1"/>
    <col min="3723" max="3723" width="13.19921875" customWidth="1"/>
    <col min="3724" max="3724" width="12.19921875" customWidth="1"/>
    <col min="3968" max="3968" width="9.265625" customWidth="1"/>
    <col min="3969" max="3969" width="9.19921875" customWidth="1"/>
    <col min="3970" max="3970" width="23.796875" customWidth="1"/>
    <col min="3971" max="3971" width="61" customWidth="1"/>
    <col min="3972" max="3972" width="29.46484375" customWidth="1"/>
    <col min="3973" max="3973" width="2.73046875" customWidth="1"/>
    <col min="3975" max="3975" width="27.73046875" customWidth="1"/>
    <col min="3977" max="3977" width="20.46484375" customWidth="1"/>
    <col min="3978" max="3978" width="11" customWidth="1"/>
    <col min="3979" max="3979" width="13.19921875" customWidth="1"/>
    <col min="3980" max="3980" width="12.19921875" customWidth="1"/>
    <col min="4224" max="4224" width="9.265625" customWidth="1"/>
    <col min="4225" max="4225" width="9.19921875" customWidth="1"/>
    <col min="4226" max="4226" width="23.796875" customWidth="1"/>
    <col min="4227" max="4227" width="61" customWidth="1"/>
    <col min="4228" max="4228" width="29.46484375" customWidth="1"/>
    <col min="4229" max="4229" width="2.73046875" customWidth="1"/>
    <col min="4231" max="4231" width="27.73046875" customWidth="1"/>
    <col min="4233" max="4233" width="20.46484375" customWidth="1"/>
    <col min="4234" max="4234" width="11" customWidth="1"/>
    <col min="4235" max="4235" width="13.19921875" customWidth="1"/>
    <col min="4236" max="4236" width="12.19921875" customWidth="1"/>
    <col min="4480" max="4480" width="9.265625" customWidth="1"/>
    <col min="4481" max="4481" width="9.19921875" customWidth="1"/>
    <col min="4482" max="4482" width="23.796875" customWidth="1"/>
    <col min="4483" max="4483" width="61" customWidth="1"/>
    <col min="4484" max="4484" width="29.46484375" customWidth="1"/>
    <col min="4485" max="4485" width="2.73046875" customWidth="1"/>
    <col min="4487" max="4487" width="27.73046875" customWidth="1"/>
    <col min="4489" max="4489" width="20.46484375" customWidth="1"/>
    <col min="4490" max="4490" width="11" customWidth="1"/>
    <col min="4491" max="4491" width="13.19921875" customWidth="1"/>
    <col min="4492" max="4492" width="12.19921875" customWidth="1"/>
    <col min="4736" max="4736" width="9.265625" customWidth="1"/>
    <col min="4737" max="4737" width="9.19921875" customWidth="1"/>
    <col min="4738" max="4738" width="23.796875" customWidth="1"/>
    <col min="4739" max="4739" width="61" customWidth="1"/>
    <col min="4740" max="4740" width="29.46484375" customWidth="1"/>
    <col min="4741" max="4741" width="2.73046875" customWidth="1"/>
    <col min="4743" max="4743" width="27.73046875" customWidth="1"/>
    <col min="4745" max="4745" width="20.46484375" customWidth="1"/>
    <col min="4746" max="4746" width="11" customWidth="1"/>
    <col min="4747" max="4747" width="13.19921875" customWidth="1"/>
    <col min="4748" max="4748" width="12.19921875" customWidth="1"/>
    <col min="4992" max="4992" width="9.265625" customWidth="1"/>
    <col min="4993" max="4993" width="9.19921875" customWidth="1"/>
    <col min="4994" max="4994" width="23.796875" customWidth="1"/>
    <col min="4995" max="4995" width="61" customWidth="1"/>
    <col min="4996" max="4996" width="29.46484375" customWidth="1"/>
    <col min="4997" max="4997" width="2.73046875" customWidth="1"/>
    <col min="4999" max="4999" width="27.73046875" customWidth="1"/>
    <col min="5001" max="5001" width="20.46484375" customWidth="1"/>
    <col min="5002" max="5002" width="11" customWidth="1"/>
    <col min="5003" max="5003" width="13.19921875" customWidth="1"/>
    <col min="5004" max="5004" width="12.19921875" customWidth="1"/>
    <col min="5248" max="5248" width="9.265625" customWidth="1"/>
    <col min="5249" max="5249" width="9.19921875" customWidth="1"/>
    <col min="5250" max="5250" width="23.796875" customWidth="1"/>
    <col min="5251" max="5251" width="61" customWidth="1"/>
    <col min="5252" max="5252" width="29.46484375" customWidth="1"/>
    <col min="5253" max="5253" width="2.73046875" customWidth="1"/>
    <col min="5255" max="5255" width="27.73046875" customWidth="1"/>
    <col min="5257" max="5257" width="20.46484375" customWidth="1"/>
    <col min="5258" max="5258" width="11" customWidth="1"/>
    <col min="5259" max="5259" width="13.19921875" customWidth="1"/>
    <col min="5260" max="5260" width="12.19921875" customWidth="1"/>
    <col min="5504" max="5504" width="9.265625" customWidth="1"/>
    <col min="5505" max="5505" width="9.19921875" customWidth="1"/>
    <col min="5506" max="5506" width="23.796875" customWidth="1"/>
    <col min="5507" max="5507" width="61" customWidth="1"/>
    <col min="5508" max="5508" width="29.46484375" customWidth="1"/>
    <col min="5509" max="5509" width="2.73046875" customWidth="1"/>
    <col min="5511" max="5511" width="27.73046875" customWidth="1"/>
    <col min="5513" max="5513" width="20.46484375" customWidth="1"/>
    <col min="5514" max="5514" width="11" customWidth="1"/>
    <col min="5515" max="5515" width="13.19921875" customWidth="1"/>
    <col min="5516" max="5516" width="12.19921875" customWidth="1"/>
    <col min="5760" max="5760" width="9.265625" customWidth="1"/>
    <col min="5761" max="5761" width="9.19921875" customWidth="1"/>
    <col min="5762" max="5762" width="23.796875" customWidth="1"/>
    <col min="5763" max="5763" width="61" customWidth="1"/>
    <col min="5764" max="5764" width="29.46484375" customWidth="1"/>
    <col min="5765" max="5765" width="2.73046875" customWidth="1"/>
    <col min="5767" max="5767" width="27.73046875" customWidth="1"/>
    <col min="5769" max="5769" width="20.46484375" customWidth="1"/>
    <col min="5770" max="5770" width="11" customWidth="1"/>
    <col min="5771" max="5771" width="13.19921875" customWidth="1"/>
    <col min="5772" max="5772" width="12.19921875" customWidth="1"/>
    <col min="6016" max="6016" width="9.265625" customWidth="1"/>
    <col min="6017" max="6017" width="9.19921875" customWidth="1"/>
    <col min="6018" max="6018" width="23.796875" customWidth="1"/>
    <col min="6019" max="6019" width="61" customWidth="1"/>
    <col min="6020" max="6020" width="29.46484375" customWidth="1"/>
    <col min="6021" max="6021" width="2.73046875" customWidth="1"/>
    <col min="6023" max="6023" width="27.73046875" customWidth="1"/>
    <col min="6025" max="6025" width="20.46484375" customWidth="1"/>
    <col min="6026" max="6026" width="11" customWidth="1"/>
    <col min="6027" max="6027" width="13.19921875" customWidth="1"/>
    <col min="6028" max="6028" width="12.19921875" customWidth="1"/>
    <col min="6272" max="6272" width="9.265625" customWidth="1"/>
    <col min="6273" max="6273" width="9.19921875" customWidth="1"/>
    <col min="6274" max="6274" width="23.796875" customWidth="1"/>
    <col min="6275" max="6275" width="61" customWidth="1"/>
    <col min="6276" max="6276" width="29.46484375" customWidth="1"/>
    <col min="6277" max="6277" width="2.73046875" customWidth="1"/>
    <col min="6279" max="6279" width="27.73046875" customWidth="1"/>
    <col min="6281" max="6281" width="20.46484375" customWidth="1"/>
    <col min="6282" max="6282" width="11" customWidth="1"/>
    <col min="6283" max="6283" width="13.19921875" customWidth="1"/>
    <col min="6284" max="6284" width="12.19921875" customWidth="1"/>
    <col min="6528" max="6528" width="9.265625" customWidth="1"/>
    <col min="6529" max="6529" width="9.19921875" customWidth="1"/>
    <col min="6530" max="6530" width="23.796875" customWidth="1"/>
    <col min="6531" max="6531" width="61" customWidth="1"/>
    <col min="6532" max="6532" width="29.46484375" customWidth="1"/>
    <col min="6533" max="6533" width="2.73046875" customWidth="1"/>
    <col min="6535" max="6535" width="27.73046875" customWidth="1"/>
    <col min="6537" max="6537" width="20.46484375" customWidth="1"/>
    <col min="6538" max="6538" width="11" customWidth="1"/>
    <col min="6539" max="6539" width="13.19921875" customWidth="1"/>
    <col min="6540" max="6540" width="12.19921875" customWidth="1"/>
    <col min="6784" max="6784" width="9.265625" customWidth="1"/>
    <col min="6785" max="6785" width="9.19921875" customWidth="1"/>
    <col min="6786" max="6786" width="23.796875" customWidth="1"/>
    <col min="6787" max="6787" width="61" customWidth="1"/>
    <col min="6788" max="6788" width="29.46484375" customWidth="1"/>
    <col min="6789" max="6789" width="2.73046875" customWidth="1"/>
    <col min="6791" max="6791" width="27.73046875" customWidth="1"/>
    <col min="6793" max="6793" width="20.46484375" customWidth="1"/>
    <col min="6794" max="6794" width="11" customWidth="1"/>
    <col min="6795" max="6795" width="13.19921875" customWidth="1"/>
    <col min="6796" max="6796" width="12.19921875" customWidth="1"/>
    <col min="7040" max="7040" width="9.265625" customWidth="1"/>
    <col min="7041" max="7041" width="9.19921875" customWidth="1"/>
    <col min="7042" max="7042" width="23.796875" customWidth="1"/>
    <col min="7043" max="7043" width="61" customWidth="1"/>
    <col min="7044" max="7044" width="29.46484375" customWidth="1"/>
    <col min="7045" max="7045" width="2.73046875" customWidth="1"/>
    <col min="7047" max="7047" width="27.73046875" customWidth="1"/>
    <col min="7049" max="7049" width="20.46484375" customWidth="1"/>
    <col min="7050" max="7050" width="11" customWidth="1"/>
    <col min="7051" max="7051" width="13.19921875" customWidth="1"/>
    <col min="7052" max="7052" width="12.19921875" customWidth="1"/>
    <col min="7296" max="7296" width="9.265625" customWidth="1"/>
    <col min="7297" max="7297" width="9.19921875" customWidth="1"/>
    <col min="7298" max="7298" width="23.796875" customWidth="1"/>
    <col min="7299" max="7299" width="61" customWidth="1"/>
    <col min="7300" max="7300" width="29.46484375" customWidth="1"/>
    <col min="7301" max="7301" width="2.73046875" customWidth="1"/>
    <col min="7303" max="7303" width="27.73046875" customWidth="1"/>
    <col min="7305" max="7305" width="20.46484375" customWidth="1"/>
    <col min="7306" max="7306" width="11" customWidth="1"/>
    <col min="7307" max="7307" width="13.19921875" customWidth="1"/>
    <col min="7308" max="7308" width="12.19921875" customWidth="1"/>
    <col min="7552" max="7552" width="9.265625" customWidth="1"/>
    <col min="7553" max="7553" width="9.19921875" customWidth="1"/>
    <col min="7554" max="7554" width="23.796875" customWidth="1"/>
    <col min="7555" max="7555" width="61" customWidth="1"/>
    <col min="7556" max="7556" width="29.46484375" customWidth="1"/>
    <col min="7557" max="7557" width="2.73046875" customWidth="1"/>
    <col min="7559" max="7559" width="27.73046875" customWidth="1"/>
    <col min="7561" max="7561" width="20.46484375" customWidth="1"/>
    <col min="7562" max="7562" width="11" customWidth="1"/>
    <col min="7563" max="7563" width="13.19921875" customWidth="1"/>
    <col min="7564" max="7564" width="12.19921875" customWidth="1"/>
    <col min="7808" max="7808" width="9.265625" customWidth="1"/>
    <col min="7809" max="7809" width="9.19921875" customWidth="1"/>
    <col min="7810" max="7810" width="23.796875" customWidth="1"/>
    <col min="7811" max="7811" width="61" customWidth="1"/>
    <col min="7812" max="7812" width="29.46484375" customWidth="1"/>
    <col min="7813" max="7813" width="2.73046875" customWidth="1"/>
    <col min="7815" max="7815" width="27.73046875" customWidth="1"/>
    <col min="7817" max="7817" width="20.46484375" customWidth="1"/>
    <col min="7818" max="7818" width="11" customWidth="1"/>
    <col min="7819" max="7819" width="13.19921875" customWidth="1"/>
    <col min="7820" max="7820" width="12.19921875" customWidth="1"/>
    <col min="8064" max="8064" width="9.265625" customWidth="1"/>
    <col min="8065" max="8065" width="9.19921875" customWidth="1"/>
    <col min="8066" max="8066" width="23.796875" customWidth="1"/>
    <col min="8067" max="8067" width="61" customWidth="1"/>
    <col min="8068" max="8068" width="29.46484375" customWidth="1"/>
    <col min="8069" max="8069" width="2.73046875" customWidth="1"/>
    <col min="8071" max="8071" width="27.73046875" customWidth="1"/>
    <col min="8073" max="8073" width="20.46484375" customWidth="1"/>
    <col min="8074" max="8074" width="11" customWidth="1"/>
    <col min="8075" max="8075" width="13.19921875" customWidth="1"/>
    <col min="8076" max="8076" width="12.19921875" customWidth="1"/>
    <col min="8320" max="8320" width="9.265625" customWidth="1"/>
    <col min="8321" max="8321" width="9.19921875" customWidth="1"/>
    <col min="8322" max="8322" width="23.796875" customWidth="1"/>
    <col min="8323" max="8323" width="61" customWidth="1"/>
    <col min="8324" max="8324" width="29.46484375" customWidth="1"/>
    <col min="8325" max="8325" width="2.73046875" customWidth="1"/>
    <col min="8327" max="8327" width="27.73046875" customWidth="1"/>
    <col min="8329" max="8329" width="20.46484375" customWidth="1"/>
    <col min="8330" max="8330" width="11" customWidth="1"/>
    <col min="8331" max="8331" width="13.19921875" customWidth="1"/>
    <col min="8332" max="8332" width="12.19921875" customWidth="1"/>
    <col min="8576" max="8576" width="9.265625" customWidth="1"/>
    <col min="8577" max="8577" width="9.19921875" customWidth="1"/>
    <col min="8578" max="8578" width="23.796875" customWidth="1"/>
    <col min="8579" max="8579" width="61" customWidth="1"/>
    <col min="8580" max="8580" width="29.46484375" customWidth="1"/>
    <col min="8581" max="8581" width="2.73046875" customWidth="1"/>
    <col min="8583" max="8583" width="27.73046875" customWidth="1"/>
    <col min="8585" max="8585" width="20.46484375" customWidth="1"/>
    <col min="8586" max="8586" width="11" customWidth="1"/>
    <col min="8587" max="8587" width="13.19921875" customWidth="1"/>
    <col min="8588" max="8588" width="12.19921875" customWidth="1"/>
    <col min="8832" max="8832" width="9.265625" customWidth="1"/>
    <col min="8833" max="8833" width="9.19921875" customWidth="1"/>
    <col min="8834" max="8834" width="23.796875" customWidth="1"/>
    <col min="8835" max="8835" width="61" customWidth="1"/>
    <col min="8836" max="8836" width="29.46484375" customWidth="1"/>
    <col min="8837" max="8837" width="2.73046875" customWidth="1"/>
    <col min="8839" max="8839" width="27.73046875" customWidth="1"/>
    <col min="8841" max="8841" width="20.46484375" customWidth="1"/>
    <col min="8842" max="8842" width="11" customWidth="1"/>
    <col min="8843" max="8843" width="13.19921875" customWidth="1"/>
    <col min="8844" max="8844" width="12.19921875" customWidth="1"/>
    <col min="9088" max="9088" width="9.265625" customWidth="1"/>
    <col min="9089" max="9089" width="9.19921875" customWidth="1"/>
    <col min="9090" max="9090" width="23.796875" customWidth="1"/>
    <col min="9091" max="9091" width="61" customWidth="1"/>
    <col min="9092" max="9092" width="29.46484375" customWidth="1"/>
    <col min="9093" max="9093" width="2.73046875" customWidth="1"/>
    <col min="9095" max="9095" width="27.73046875" customWidth="1"/>
    <col min="9097" max="9097" width="20.46484375" customWidth="1"/>
    <col min="9098" max="9098" width="11" customWidth="1"/>
    <col min="9099" max="9099" width="13.19921875" customWidth="1"/>
    <col min="9100" max="9100" width="12.19921875" customWidth="1"/>
    <col min="9344" max="9344" width="9.265625" customWidth="1"/>
    <col min="9345" max="9345" width="9.19921875" customWidth="1"/>
    <col min="9346" max="9346" width="23.796875" customWidth="1"/>
    <col min="9347" max="9347" width="61" customWidth="1"/>
    <col min="9348" max="9348" width="29.46484375" customWidth="1"/>
    <col min="9349" max="9349" width="2.73046875" customWidth="1"/>
    <col min="9351" max="9351" width="27.73046875" customWidth="1"/>
    <col min="9353" max="9353" width="20.46484375" customWidth="1"/>
    <col min="9354" max="9354" width="11" customWidth="1"/>
    <col min="9355" max="9355" width="13.19921875" customWidth="1"/>
    <col min="9356" max="9356" width="12.19921875" customWidth="1"/>
    <col min="9600" max="9600" width="9.265625" customWidth="1"/>
    <col min="9601" max="9601" width="9.19921875" customWidth="1"/>
    <col min="9602" max="9602" width="23.796875" customWidth="1"/>
    <col min="9603" max="9603" width="61" customWidth="1"/>
    <col min="9604" max="9604" width="29.46484375" customWidth="1"/>
    <col min="9605" max="9605" width="2.73046875" customWidth="1"/>
    <col min="9607" max="9607" width="27.73046875" customWidth="1"/>
    <col min="9609" max="9609" width="20.46484375" customWidth="1"/>
    <col min="9610" max="9610" width="11" customWidth="1"/>
    <col min="9611" max="9611" width="13.19921875" customWidth="1"/>
    <col min="9612" max="9612" width="12.19921875" customWidth="1"/>
    <col min="9856" max="9856" width="9.265625" customWidth="1"/>
    <col min="9857" max="9857" width="9.19921875" customWidth="1"/>
    <col min="9858" max="9858" width="23.796875" customWidth="1"/>
    <col min="9859" max="9859" width="61" customWidth="1"/>
    <col min="9860" max="9860" width="29.46484375" customWidth="1"/>
    <col min="9861" max="9861" width="2.73046875" customWidth="1"/>
    <col min="9863" max="9863" width="27.73046875" customWidth="1"/>
    <col min="9865" max="9865" width="20.46484375" customWidth="1"/>
    <col min="9866" max="9866" width="11" customWidth="1"/>
    <col min="9867" max="9867" width="13.19921875" customWidth="1"/>
    <col min="9868" max="9868" width="12.19921875" customWidth="1"/>
    <col min="10112" max="10112" width="9.265625" customWidth="1"/>
    <col min="10113" max="10113" width="9.19921875" customWidth="1"/>
    <col min="10114" max="10114" width="23.796875" customWidth="1"/>
    <col min="10115" max="10115" width="61" customWidth="1"/>
    <col min="10116" max="10116" width="29.46484375" customWidth="1"/>
    <col min="10117" max="10117" width="2.73046875" customWidth="1"/>
    <col min="10119" max="10119" width="27.73046875" customWidth="1"/>
    <col min="10121" max="10121" width="20.46484375" customWidth="1"/>
    <col min="10122" max="10122" width="11" customWidth="1"/>
    <col min="10123" max="10123" width="13.19921875" customWidth="1"/>
    <col min="10124" max="10124" width="12.19921875" customWidth="1"/>
    <col min="10368" max="10368" width="9.265625" customWidth="1"/>
    <col min="10369" max="10369" width="9.19921875" customWidth="1"/>
    <col min="10370" max="10370" width="23.796875" customWidth="1"/>
    <col min="10371" max="10371" width="61" customWidth="1"/>
    <col min="10372" max="10372" width="29.46484375" customWidth="1"/>
    <col min="10373" max="10373" width="2.73046875" customWidth="1"/>
    <col min="10375" max="10375" width="27.73046875" customWidth="1"/>
    <col min="10377" max="10377" width="20.46484375" customWidth="1"/>
    <col min="10378" max="10378" width="11" customWidth="1"/>
    <col min="10379" max="10379" width="13.19921875" customWidth="1"/>
    <col min="10380" max="10380" width="12.19921875" customWidth="1"/>
    <col min="10624" max="10624" width="9.265625" customWidth="1"/>
    <col min="10625" max="10625" width="9.19921875" customWidth="1"/>
    <col min="10626" max="10626" width="23.796875" customWidth="1"/>
    <col min="10627" max="10627" width="61" customWidth="1"/>
    <col min="10628" max="10628" width="29.46484375" customWidth="1"/>
    <col min="10629" max="10629" width="2.73046875" customWidth="1"/>
    <col min="10631" max="10631" width="27.73046875" customWidth="1"/>
    <col min="10633" max="10633" width="20.46484375" customWidth="1"/>
    <col min="10634" max="10634" width="11" customWidth="1"/>
    <col min="10635" max="10635" width="13.19921875" customWidth="1"/>
    <col min="10636" max="10636" width="12.19921875" customWidth="1"/>
    <col min="10880" max="10880" width="9.265625" customWidth="1"/>
    <col min="10881" max="10881" width="9.19921875" customWidth="1"/>
    <col min="10882" max="10882" width="23.796875" customWidth="1"/>
    <col min="10883" max="10883" width="61" customWidth="1"/>
    <col min="10884" max="10884" width="29.46484375" customWidth="1"/>
    <col min="10885" max="10885" width="2.73046875" customWidth="1"/>
    <col min="10887" max="10887" width="27.73046875" customWidth="1"/>
    <col min="10889" max="10889" width="20.46484375" customWidth="1"/>
    <col min="10890" max="10890" width="11" customWidth="1"/>
    <col min="10891" max="10891" width="13.19921875" customWidth="1"/>
    <col min="10892" max="10892" width="12.19921875" customWidth="1"/>
    <col min="11136" max="11136" width="9.265625" customWidth="1"/>
    <col min="11137" max="11137" width="9.19921875" customWidth="1"/>
    <col min="11138" max="11138" width="23.796875" customWidth="1"/>
    <col min="11139" max="11139" width="61" customWidth="1"/>
    <col min="11140" max="11140" width="29.46484375" customWidth="1"/>
    <col min="11141" max="11141" width="2.73046875" customWidth="1"/>
    <col min="11143" max="11143" width="27.73046875" customWidth="1"/>
    <col min="11145" max="11145" width="20.46484375" customWidth="1"/>
    <col min="11146" max="11146" width="11" customWidth="1"/>
    <col min="11147" max="11147" width="13.19921875" customWidth="1"/>
    <col min="11148" max="11148" width="12.19921875" customWidth="1"/>
    <col min="11392" max="11392" width="9.265625" customWidth="1"/>
    <col min="11393" max="11393" width="9.19921875" customWidth="1"/>
    <col min="11394" max="11394" width="23.796875" customWidth="1"/>
    <col min="11395" max="11395" width="61" customWidth="1"/>
    <col min="11396" max="11396" width="29.46484375" customWidth="1"/>
    <col min="11397" max="11397" width="2.73046875" customWidth="1"/>
    <col min="11399" max="11399" width="27.73046875" customWidth="1"/>
    <col min="11401" max="11401" width="20.46484375" customWidth="1"/>
    <col min="11402" max="11402" width="11" customWidth="1"/>
    <col min="11403" max="11403" width="13.19921875" customWidth="1"/>
    <col min="11404" max="11404" width="12.19921875" customWidth="1"/>
    <col min="11648" max="11648" width="9.265625" customWidth="1"/>
    <col min="11649" max="11649" width="9.19921875" customWidth="1"/>
    <col min="11650" max="11650" width="23.796875" customWidth="1"/>
    <col min="11651" max="11651" width="61" customWidth="1"/>
    <col min="11652" max="11652" width="29.46484375" customWidth="1"/>
    <col min="11653" max="11653" width="2.73046875" customWidth="1"/>
    <col min="11655" max="11655" width="27.73046875" customWidth="1"/>
    <col min="11657" max="11657" width="20.46484375" customWidth="1"/>
    <col min="11658" max="11658" width="11" customWidth="1"/>
    <col min="11659" max="11659" width="13.19921875" customWidth="1"/>
    <col min="11660" max="11660" width="12.19921875" customWidth="1"/>
    <col min="11904" max="11904" width="9.265625" customWidth="1"/>
    <col min="11905" max="11905" width="9.19921875" customWidth="1"/>
    <col min="11906" max="11906" width="23.796875" customWidth="1"/>
    <col min="11907" max="11907" width="61" customWidth="1"/>
    <col min="11908" max="11908" width="29.46484375" customWidth="1"/>
    <col min="11909" max="11909" width="2.73046875" customWidth="1"/>
    <col min="11911" max="11911" width="27.73046875" customWidth="1"/>
    <col min="11913" max="11913" width="20.46484375" customWidth="1"/>
    <col min="11914" max="11914" width="11" customWidth="1"/>
    <col min="11915" max="11915" width="13.19921875" customWidth="1"/>
    <col min="11916" max="11916" width="12.19921875" customWidth="1"/>
    <col min="12160" max="12160" width="9.265625" customWidth="1"/>
    <col min="12161" max="12161" width="9.19921875" customWidth="1"/>
    <col min="12162" max="12162" width="23.796875" customWidth="1"/>
    <col min="12163" max="12163" width="61" customWidth="1"/>
    <col min="12164" max="12164" width="29.46484375" customWidth="1"/>
    <col min="12165" max="12165" width="2.73046875" customWidth="1"/>
    <col min="12167" max="12167" width="27.73046875" customWidth="1"/>
    <col min="12169" max="12169" width="20.46484375" customWidth="1"/>
    <col min="12170" max="12170" width="11" customWidth="1"/>
    <col min="12171" max="12171" width="13.19921875" customWidth="1"/>
    <col min="12172" max="12172" width="12.19921875" customWidth="1"/>
    <col min="12416" max="12416" width="9.265625" customWidth="1"/>
    <col min="12417" max="12417" width="9.19921875" customWidth="1"/>
    <col min="12418" max="12418" width="23.796875" customWidth="1"/>
    <col min="12419" max="12419" width="61" customWidth="1"/>
    <col min="12420" max="12420" width="29.46484375" customWidth="1"/>
    <col min="12421" max="12421" width="2.73046875" customWidth="1"/>
    <col min="12423" max="12423" width="27.73046875" customWidth="1"/>
    <col min="12425" max="12425" width="20.46484375" customWidth="1"/>
    <col min="12426" max="12426" width="11" customWidth="1"/>
    <col min="12427" max="12427" width="13.19921875" customWidth="1"/>
    <col min="12428" max="12428" width="12.19921875" customWidth="1"/>
    <col min="12672" max="12672" width="9.265625" customWidth="1"/>
    <col min="12673" max="12673" width="9.19921875" customWidth="1"/>
    <col min="12674" max="12674" width="23.796875" customWidth="1"/>
    <col min="12675" max="12675" width="61" customWidth="1"/>
    <col min="12676" max="12676" width="29.46484375" customWidth="1"/>
    <col min="12677" max="12677" width="2.73046875" customWidth="1"/>
    <col min="12679" max="12679" width="27.73046875" customWidth="1"/>
    <col min="12681" max="12681" width="20.46484375" customWidth="1"/>
    <col min="12682" max="12682" width="11" customWidth="1"/>
    <col min="12683" max="12683" width="13.19921875" customWidth="1"/>
    <col min="12684" max="12684" width="12.19921875" customWidth="1"/>
    <col min="12928" max="12928" width="9.265625" customWidth="1"/>
    <col min="12929" max="12929" width="9.19921875" customWidth="1"/>
    <col min="12930" max="12930" width="23.796875" customWidth="1"/>
    <col min="12931" max="12931" width="61" customWidth="1"/>
    <col min="12932" max="12932" width="29.46484375" customWidth="1"/>
    <col min="12933" max="12933" width="2.73046875" customWidth="1"/>
    <col min="12935" max="12935" width="27.73046875" customWidth="1"/>
    <col min="12937" max="12937" width="20.46484375" customWidth="1"/>
    <col min="12938" max="12938" width="11" customWidth="1"/>
    <col min="12939" max="12939" width="13.19921875" customWidth="1"/>
    <col min="12940" max="12940" width="12.19921875" customWidth="1"/>
    <col min="13184" max="13184" width="9.265625" customWidth="1"/>
    <col min="13185" max="13185" width="9.19921875" customWidth="1"/>
    <col min="13186" max="13186" width="23.796875" customWidth="1"/>
    <col min="13187" max="13187" width="61" customWidth="1"/>
    <col min="13188" max="13188" width="29.46484375" customWidth="1"/>
    <col min="13189" max="13189" width="2.73046875" customWidth="1"/>
    <col min="13191" max="13191" width="27.73046875" customWidth="1"/>
    <col min="13193" max="13193" width="20.46484375" customWidth="1"/>
    <col min="13194" max="13194" width="11" customWidth="1"/>
    <col min="13195" max="13195" width="13.19921875" customWidth="1"/>
    <col min="13196" max="13196" width="12.19921875" customWidth="1"/>
    <col min="13440" max="13440" width="9.265625" customWidth="1"/>
    <col min="13441" max="13441" width="9.19921875" customWidth="1"/>
    <col min="13442" max="13442" width="23.796875" customWidth="1"/>
    <col min="13443" max="13443" width="61" customWidth="1"/>
    <col min="13444" max="13444" width="29.46484375" customWidth="1"/>
    <col min="13445" max="13445" width="2.73046875" customWidth="1"/>
    <col min="13447" max="13447" width="27.73046875" customWidth="1"/>
    <col min="13449" max="13449" width="20.46484375" customWidth="1"/>
    <col min="13450" max="13450" width="11" customWidth="1"/>
    <col min="13451" max="13451" width="13.19921875" customWidth="1"/>
    <col min="13452" max="13452" width="12.19921875" customWidth="1"/>
    <col min="13696" max="13696" width="9.265625" customWidth="1"/>
    <col min="13697" max="13697" width="9.19921875" customWidth="1"/>
    <col min="13698" max="13698" width="23.796875" customWidth="1"/>
    <col min="13699" max="13699" width="61" customWidth="1"/>
    <col min="13700" max="13700" width="29.46484375" customWidth="1"/>
    <col min="13701" max="13701" width="2.73046875" customWidth="1"/>
    <col min="13703" max="13703" width="27.73046875" customWidth="1"/>
    <col min="13705" max="13705" width="20.46484375" customWidth="1"/>
    <col min="13706" max="13706" width="11" customWidth="1"/>
    <col min="13707" max="13707" width="13.19921875" customWidth="1"/>
    <col min="13708" max="13708" width="12.19921875" customWidth="1"/>
    <col min="13952" max="13952" width="9.265625" customWidth="1"/>
    <col min="13953" max="13953" width="9.19921875" customWidth="1"/>
    <col min="13954" max="13954" width="23.796875" customWidth="1"/>
    <col min="13955" max="13955" width="61" customWidth="1"/>
    <col min="13956" max="13956" width="29.46484375" customWidth="1"/>
    <col min="13957" max="13957" width="2.73046875" customWidth="1"/>
    <col min="13959" max="13959" width="27.73046875" customWidth="1"/>
    <col min="13961" max="13961" width="20.46484375" customWidth="1"/>
    <col min="13962" max="13962" width="11" customWidth="1"/>
    <col min="13963" max="13963" width="13.19921875" customWidth="1"/>
    <col min="13964" max="13964" width="12.19921875" customWidth="1"/>
    <col min="14208" max="14208" width="9.265625" customWidth="1"/>
    <col min="14209" max="14209" width="9.19921875" customWidth="1"/>
    <col min="14210" max="14210" width="23.796875" customWidth="1"/>
    <col min="14211" max="14211" width="61" customWidth="1"/>
    <col min="14212" max="14212" width="29.46484375" customWidth="1"/>
    <col min="14213" max="14213" width="2.73046875" customWidth="1"/>
    <col min="14215" max="14215" width="27.73046875" customWidth="1"/>
    <col min="14217" max="14217" width="20.46484375" customWidth="1"/>
    <col min="14218" max="14218" width="11" customWidth="1"/>
    <col min="14219" max="14219" width="13.19921875" customWidth="1"/>
    <col min="14220" max="14220" width="12.19921875" customWidth="1"/>
    <col min="14464" max="14464" width="9.265625" customWidth="1"/>
    <col min="14465" max="14465" width="9.19921875" customWidth="1"/>
    <col min="14466" max="14466" width="23.796875" customWidth="1"/>
    <col min="14467" max="14467" width="61" customWidth="1"/>
    <col min="14468" max="14468" width="29.46484375" customWidth="1"/>
    <col min="14469" max="14469" width="2.73046875" customWidth="1"/>
    <col min="14471" max="14471" width="27.73046875" customWidth="1"/>
    <col min="14473" max="14473" width="20.46484375" customWidth="1"/>
    <col min="14474" max="14474" width="11" customWidth="1"/>
    <col min="14475" max="14475" width="13.19921875" customWidth="1"/>
    <col min="14476" max="14476" width="12.19921875" customWidth="1"/>
    <col min="14720" max="14720" width="9.265625" customWidth="1"/>
    <col min="14721" max="14721" width="9.19921875" customWidth="1"/>
    <col min="14722" max="14722" width="23.796875" customWidth="1"/>
    <col min="14723" max="14723" width="61" customWidth="1"/>
    <col min="14724" max="14724" width="29.46484375" customWidth="1"/>
    <col min="14725" max="14725" width="2.73046875" customWidth="1"/>
    <col min="14727" max="14727" width="27.73046875" customWidth="1"/>
    <col min="14729" max="14729" width="20.46484375" customWidth="1"/>
    <col min="14730" max="14730" width="11" customWidth="1"/>
    <col min="14731" max="14731" width="13.19921875" customWidth="1"/>
    <col min="14732" max="14732" width="12.19921875" customWidth="1"/>
    <col min="14976" max="14976" width="9.265625" customWidth="1"/>
    <col min="14977" max="14977" width="9.19921875" customWidth="1"/>
    <col min="14978" max="14978" width="23.796875" customWidth="1"/>
    <col min="14979" max="14979" width="61" customWidth="1"/>
    <col min="14980" max="14980" width="29.46484375" customWidth="1"/>
    <col min="14981" max="14981" width="2.73046875" customWidth="1"/>
    <col min="14983" max="14983" width="27.73046875" customWidth="1"/>
    <col min="14985" max="14985" width="20.46484375" customWidth="1"/>
    <col min="14986" max="14986" width="11" customWidth="1"/>
    <col min="14987" max="14987" width="13.19921875" customWidth="1"/>
    <col min="14988" max="14988" width="12.19921875" customWidth="1"/>
    <col min="15232" max="15232" width="9.265625" customWidth="1"/>
    <col min="15233" max="15233" width="9.19921875" customWidth="1"/>
    <col min="15234" max="15234" width="23.796875" customWidth="1"/>
    <col min="15235" max="15235" width="61" customWidth="1"/>
    <col min="15236" max="15236" width="29.46484375" customWidth="1"/>
    <col min="15237" max="15237" width="2.73046875" customWidth="1"/>
    <col min="15239" max="15239" width="27.73046875" customWidth="1"/>
    <col min="15241" max="15241" width="20.46484375" customWidth="1"/>
    <col min="15242" max="15242" width="11" customWidth="1"/>
    <col min="15243" max="15243" width="13.19921875" customWidth="1"/>
    <col min="15244" max="15244" width="12.19921875" customWidth="1"/>
    <col min="15488" max="15488" width="9.265625" customWidth="1"/>
    <col min="15489" max="15489" width="9.19921875" customWidth="1"/>
    <col min="15490" max="15490" width="23.796875" customWidth="1"/>
    <col min="15491" max="15491" width="61" customWidth="1"/>
    <col min="15492" max="15492" width="29.46484375" customWidth="1"/>
    <col min="15493" max="15493" width="2.73046875" customWidth="1"/>
    <col min="15495" max="15495" width="27.73046875" customWidth="1"/>
    <col min="15497" max="15497" width="20.46484375" customWidth="1"/>
    <col min="15498" max="15498" width="11" customWidth="1"/>
    <col min="15499" max="15499" width="13.19921875" customWidth="1"/>
    <col min="15500" max="15500" width="12.19921875" customWidth="1"/>
    <col min="15744" max="15744" width="9.265625" customWidth="1"/>
    <col min="15745" max="15745" width="9.19921875" customWidth="1"/>
    <col min="15746" max="15746" width="23.796875" customWidth="1"/>
    <col min="15747" max="15747" width="61" customWidth="1"/>
    <col min="15748" max="15748" width="29.46484375" customWidth="1"/>
    <col min="15749" max="15749" width="2.73046875" customWidth="1"/>
    <col min="15751" max="15751" width="27.73046875" customWidth="1"/>
    <col min="15753" max="15753" width="20.46484375" customWidth="1"/>
    <col min="15754" max="15754" width="11" customWidth="1"/>
    <col min="15755" max="15755" width="13.19921875" customWidth="1"/>
    <col min="15756" max="15756" width="12.19921875" customWidth="1"/>
    <col min="16000" max="16000" width="9.265625" customWidth="1"/>
    <col min="16001" max="16001" width="9.19921875" customWidth="1"/>
    <col min="16002" max="16002" width="23.796875" customWidth="1"/>
    <col min="16003" max="16003" width="61" customWidth="1"/>
    <col min="16004" max="16004" width="29.46484375" customWidth="1"/>
    <col min="16005" max="16005" width="2.73046875" customWidth="1"/>
    <col min="16007" max="16007" width="27.73046875" customWidth="1"/>
    <col min="16009" max="16009" width="20.46484375" customWidth="1"/>
    <col min="16010" max="16010" width="11" customWidth="1"/>
    <col min="16011" max="16011" width="13.19921875" customWidth="1"/>
    <col min="16012" max="16012" width="12.19921875" customWidth="1"/>
  </cols>
  <sheetData>
    <row r="1" spans="1:6" s="126" customFormat="1" ht="23.25" customHeight="1" x14ac:dyDescent="0.45">
      <c r="A1" s="288" t="s">
        <v>103</v>
      </c>
      <c r="B1" s="289"/>
      <c r="C1" s="289"/>
      <c r="D1" s="290"/>
    </row>
    <row r="2" spans="1:6" s="126" customFormat="1" ht="21" customHeight="1" thickBot="1" x14ac:dyDescent="0.5">
      <c r="A2" s="291" t="s">
        <v>104</v>
      </c>
      <c r="B2" s="292"/>
      <c r="C2" s="292"/>
      <c r="D2" s="293"/>
    </row>
    <row r="3" spans="1:6" ht="23.25" customHeight="1" thickBot="1" x14ac:dyDescent="0.5">
      <c r="A3" s="294" t="s">
        <v>105</v>
      </c>
      <c r="B3" s="295"/>
      <c r="C3" s="295"/>
      <c r="D3" s="296"/>
    </row>
    <row r="4" spans="1:6" s="127" customFormat="1" ht="42" customHeight="1" thickBot="1" x14ac:dyDescent="0.6">
      <c r="A4" s="302" t="s">
        <v>106</v>
      </c>
      <c r="B4" s="295"/>
      <c r="C4" s="295"/>
      <c r="D4" s="296"/>
    </row>
    <row r="5" spans="1:6" ht="9.75" customHeight="1" thickBot="1" x14ac:dyDescent="0.5">
      <c r="A5" s="128"/>
      <c r="B5" s="129"/>
      <c r="C5" s="129"/>
      <c r="D5" s="130"/>
    </row>
    <row r="6" spans="1:6" ht="14.25" customHeight="1" thickBot="1" x14ac:dyDescent="0.5">
      <c r="A6" s="294" t="s">
        <v>107</v>
      </c>
      <c r="B6" s="295"/>
      <c r="C6" s="295"/>
      <c r="D6" s="296"/>
    </row>
    <row r="7" spans="1:6" ht="11.25" customHeight="1" x14ac:dyDescent="0.45">
      <c r="A7" s="131"/>
      <c r="B7" s="132"/>
      <c r="C7" s="132"/>
      <c r="D7" s="133"/>
    </row>
    <row r="8" spans="1:6" ht="17.649999999999999" x14ac:dyDescent="0.5">
      <c r="A8" s="285" t="s">
        <v>108</v>
      </c>
      <c r="B8" s="286"/>
      <c r="C8" s="286"/>
      <c r="D8" s="287"/>
    </row>
    <row r="9" spans="1:6" ht="17.25" x14ac:dyDescent="0.45">
      <c r="A9" s="134"/>
      <c r="B9" s="135" t="s">
        <v>109</v>
      </c>
      <c r="C9" s="135"/>
      <c r="D9" s="136">
        <v>117492524</v>
      </c>
    </row>
    <row r="10" spans="1:6" ht="17.25" x14ac:dyDescent="0.45">
      <c r="A10" s="134"/>
      <c r="B10" s="135" t="s">
        <v>110</v>
      </c>
      <c r="C10" s="135"/>
      <c r="D10" s="137">
        <v>-587462.62</v>
      </c>
    </row>
    <row r="11" spans="1:6" ht="17.25" x14ac:dyDescent="0.45">
      <c r="A11" s="134"/>
      <c r="B11" s="138" t="s">
        <v>111</v>
      </c>
      <c r="C11" s="135"/>
      <c r="D11" s="139">
        <v>6276737</v>
      </c>
      <c r="F11" t="s">
        <v>163</v>
      </c>
    </row>
    <row r="12" spans="1:6" ht="17.25" x14ac:dyDescent="0.45">
      <c r="A12" s="134"/>
      <c r="B12" s="135" t="s">
        <v>112</v>
      </c>
      <c r="C12" s="135"/>
      <c r="D12" s="140">
        <f>SUM(D9:D11)</f>
        <v>123181798.38</v>
      </c>
      <c r="F12" s="184">
        <f>ROUND(D12/1000,0)</f>
        <v>123182</v>
      </c>
    </row>
    <row r="13" spans="1:6" ht="20.2" customHeight="1" x14ac:dyDescent="0.45">
      <c r="A13" s="134"/>
      <c r="B13" s="135"/>
      <c r="C13" s="135"/>
      <c r="D13" s="136"/>
    </row>
    <row r="14" spans="1:6" ht="17.649999999999999" x14ac:dyDescent="0.5">
      <c r="A14" s="285" t="s">
        <v>113</v>
      </c>
      <c r="B14" s="286"/>
      <c r="C14" s="286"/>
      <c r="D14" s="287"/>
    </row>
    <row r="15" spans="1:6" ht="17.25" x14ac:dyDescent="0.45">
      <c r="A15" s="134"/>
      <c r="B15" s="135" t="s">
        <v>109</v>
      </c>
      <c r="C15" s="135"/>
      <c r="D15" s="136">
        <v>24543893</v>
      </c>
    </row>
    <row r="16" spans="1:6" ht="17.25" x14ac:dyDescent="0.45">
      <c r="A16" s="134"/>
      <c r="B16" s="135" t="s">
        <v>110</v>
      </c>
      <c r="C16" s="135"/>
      <c r="D16" s="141">
        <v>-122719.465</v>
      </c>
      <c r="F16" t="s">
        <v>169</v>
      </c>
    </row>
    <row r="17" spans="1:6" ht="17.25" x14ac:dyDescent="0.45">
      <c r="A17" s="134"/>
      <c r="B17" s="135" t="s">
        <v>112</v>
      </c>
      <c r="C17" s="135"/>
      <c r="D17" s="136">
        <f>SUM(D15:D16)</f>
        <v>24421173.535</v>
      </c>
      <c r="F17" s="184">
        <f>ROUND(D17/1000,0)</f>
        <v>24421</v>
      </c>
    </row>
    <row r="18" spans="1:6" ht="20.2" customHeight="1" x14ac:dyDescent="0.45">
      <c r="A18" s="134"/>
      <c r="B18" s="135"/>
      <c r="C18" s="135"/>
      <c r="D18" s="136"/>
    </row>
    <row r="19" spans="1:6" ht="17.649999999999999" x14ac:dyDescent="0.5">
      <c r="A19" s="142" t="s">
        <v>114</v>
      </c>
      <c r="B19" s="138"/>
      <c r="C19" s="138"/>
      <c r="D19" s="136"/>
    </row>
    <row r="20" spans="1:6" ht="17.25" x14ac:dyDescent="0.45">
      <c r="A20" s="143"/>
      <c r="B20" s="138" t="s">
        <v>109</v>
      </c>
      <c r="C20" s="138"/>
      <c r="D20" s="141">
        <v>10000000</v>
      </c>
      <c r="F20" t="s">
        <v>165</v>
      </c>
    </row>
    <row r="21" spans="1:6" ht="17.25" x14ac:dyDescent="0.45">
      <c r="A21" s="143"/>
      <c r="B21" s="138" t="s">
        <v>112</v>
      </c>
      <c r="C21" s="138"/>
      <c r="D21" s="136">
        <f>D20</f>
        <v>10000000</v>
      </c>
      <c r="F21" s="184">
        <f>D21/1000</f>
        <v>10000</v>
      </c>
    </row>
    <row r="22" spans="1:6" ht="20.2" customHeight="1" x14ac:dyDescent="0.45">
      <c r="A22" s="144"/>
      <c r="B22" s="138"/>
      <c r="C22" s="138"/>
      <c r="D22" s="136"/>
    </row>
    <row r="23" spans="1:6" ht="17.649999999999999" x14ac:dyDescent="0.5">
      <c r="A23" s="145" t="s">
        <v>115</v>
      </c>
      <c r="B23" s="138"/>
      <c r="C23" s="138"/>
      <c r="D23" s="146"/>
    </row>
    <row r="24" spans="1:6" ht="17.25" x14ac:dyDescent="0.45">
      <c r="A24" s="144"/>
      <c r="B24" s="138" t="s">
        <v>109</v>
      </c>
      <c r="C24" s="138"/>
      <c r="D24" s="136">
        <v>4929452499</v>
      </c>
    </row>
    <row r="25" spans="1:6" ht="17.25" x14ac:dyDescent="0.45">
      <c r="A25" s="144"/>
      <c r="B25" s="278" t="s">
        <v>116</v>
      </c>
      <c r="C25" s="279"/>
      <c r="D25" s="136">
        <v>-36970893.7425</v>
      </c>
      <c r="F25" t="s">
        <v>166</v>
      </c>
    </row>
    <row r="26" spans="1:6" ht="17.25" x14ac:dyDescent="0.45">
      <c r="A26" s="144"/>
      <c r="B26" s="138" t="s">
        <v>117</v>
      </c>
      <c r="C26" s="147"/>
      <c r="D26" s="136">
        <v>-24647263</v>
      </c>
      <c r="F26" s="184">
        <f>ROUND(SUM(D24:D27,D30)/1000,0)</f>
        <v>4847152</v>
      </c>
    </row>
    <row r="27" spans="1:6" ht="17.25" x14ac:dyDescent="0.45">
      <c r="A27" s="144"/>
      <c r="B27" s="138" t="s">
        <v>118</v>
      </c>
      <c r="C27" s="147"/>
      <c r="D27" s="136">
        <v>-30000000</v>
      </c>
    </row>
    <row r="28" spans="1:6" ht="17.55" customHeight="1" x14ac:dyDescent="0.45">
      <c r="A28" s="144"/>
      <c r="B28" s="138" t="s">
        <v>119</v>
      </c>
      <c r="C28" s="138"/>
      <c r="D28" s="136">
        <v>309364074</v>
      </c>
      <c r="F28" t="s">
        <v>171</v>
      </c>
    </row>
    <row r="29" spans="1:6" ht="17.25" x14ac:dyDescent="0.45">
      <c r="A29" s="144"/>
      <c r="B29" s="138" t="s">
        <v>120</v>
      </c>
      <c r="C29" s="138"/>
      <c r="D29" s="136">
        <v>215020585.80982929</v>
      </c>
      <c r="F29" s="232">
        <f>ROUND(SUM(D28:D29,D54)/1000,0)</f>
        <v>610033</v>
      </c>
    </row>
    <row r="30" spans="1:6" ht="17.25" x14ac:dyDescent="0.45">
      <c r="A30" s="144"/>
      <c r="B30" s="138" t="s">
        <v>111</v>
      </c>
      <c r="C30" s="138"/>
      <c r="D30" s="141">
        <v>9317819</v>
      </c>
    </row>
    <row r="31" spans="1:6" ht="17.25" x14ac:dyDescent="0.45">
      <c r="A31" s="144"/>
      <c r="B31" s="138" t="s">
        <v>112</v>
      </c>
      <c r="C31" s="138"/>
      <c r="D31" s="136">
        <f>SUM(D24:D30)</f>
        <v>5371536821.0673294</v>
      </c>
    </row>
    <row r="32" spans="1:6" ht="17.25" x14ac:dyDescent="0.45">
      <c r="A32" s="144"/>
      <c r="B32" s="138"/>
      <c r="C32" s="138"/>
      <c r="D32" s="136"/>
    </row>
    <row r="33" spans="1:6" ht="17.649999999999999" x14ac:dyDescent="0.5">
      <c r="A33" s="145" t="s">
        <v>121</v>
      </c>
      <c r="B33" s="138"/>
      <c r="C33" s="138"/>
      <c r="D33" s="136"/>
      <c r="F33" t="s">
        <v>193</v>
      </c>
    </row>
    <row r="34" spans="1:6" ht="17.25" x14ac:dyDescent="0.45">
      <c r="A34" s="144"/>
      <c r="B34" s="138" t="s">
        <v>109</v>
      </c>
      <c r="C34" s="138"/>
      <c r="D34" s="141">
        <v>30000000</v>
      </c>
      <c r="F34" s="184">
        <f>D34/1000</f>
        <v>30000</v>
      </c>
    </row>
    <row r="35" spans="1:6" ht="17.25" x14ac:dyDescent="0.45">
      <c r="A35" s="144"/>
      <c r="B35" s="138" t="s">
        <v>112</v>
      </c>
      <c r="C35" s="138"/>
      <c r="D35" s="136">
        <f>D34</f>
        <v>30000000</v>
      </c>
    </row>
    <row r="36" spans="1:6" ht="17.25" x14ac:dyDescent="0.45">
      <c r="A36" s="144"/>
      <c r="B36" s="138"/>
      <c r="C36" s="138"/>
      <c r="D36" s="136"/>
    </row>
    <row r="37" spans="1:6" ht="17.649999999999999" x14ac:dyDescent="0.5">
      <c r="A37" s="145" t="s">
        <v>122</v>
      </c>
      <c r="B37" s="138"/>
      <c r="C37" s="138"/>
      <c r="D37" s="136"/>
      <c r="E37" s="41"/>
    </row>
    <row r="38" spans="1:6" ht="17.25" x14ac:dyDescent="0.45">
      <c r="A38" s="144"/>
      <c r="B38" s="138" t="s">
        <v>109</v>
      </c>
      <c r="C38" s="138"/>
      <c r="D38" s="141">
        <v>24647263</v>
      </c>
    </row>
    <row r="39" spans="1:6" ht="17.25" x14ac:dyDescent="0.45">
      <c r="A39" s="144"/>
      <c r="B39" s="138" t="s">
        <v>112</v>
      </c>
      <c r="C39" s="138"/>
      <c r="D39" s="136">
        <f>D38</f>
        <v>24647263</v>
      </c>
    </row>
    <row r="40" spans="1:6" ht="20.2" customHeight="1" x14ac:dyDescent="0.45">
      <c r="A40" s="144"/>
      <c r="B40" s="138"/>
      <c r="C40" s="138"/>
      <c r="D40" s="136"/>
    </row>
    <row r="41" spans="1:6" ht="17.649999999999999" x14ac:dyDescent="0.5">
      <c r="A41" s="280" t="s">
        <v>123</v>
      </c>
      <c r="B41" s="281"/>
      <c r="C41" s="281"/>
      <c r="D41" s="148"/>
    </row>
    <row r="42" spans="1:6" ht="20.2" customHeight="1" x14ac:dyDescent="0.45">
      <c r="A42" s="144"/>
      <c r="B42" s="138" t="s">
        <v>109</v>
      </c>
      <c r="C42" s="138"/>
      <c r="D42" s="136">
        <v>285574688</v>
      </c>
    </row>
    <row r="43" spans="1:6" ht="20.2" customHeight="1" x14ac:dyDescent="0.45">
      <c r="A43" s="144"/>
      <c r="B43" s="138" t="s">
        <v>124</v>
      </c>
      <c r="C43" s="138"/>
      <c r="D43" s="136">
        <v>-1427873.44</v>
      </c>
    </row>
    <row r="44" spans="1:6" ht="20.2" customHeight="1" x14ac:dyDescent="0.45">
      <c r="A44" s="144"/>
      <c r="B44" s="138" t="s">
        <v>111</v>
      </c>
      <c r="C44" s="138"/>
      <c r="D44" s="141">
        <v>4009093</v>
      </c>
      <c r="F44" t="s">
        <v>164</v>
      </c>
    </row>
    <row r="45" spans="1:6" ht="20.2" customHeight="1" x14ac:dyDescent="0.45">
      <c r="A45" s="144"/>
      <c r="B45" s="138" t="s">
        <v>112</v>
      </c>
      <c r="C45" s="138"/>
      <c r="D45" s="136">
        <f>SUM(D42:D44)</f>
        <v>288155907.56</v>
      </c>
      <c r="F45" s="184">
        <f>ROUND(D45/1000,0)</f>
        <v>288156</v>
      </c>
    </row>
    <row r="46" spans="1:6" s="149" customFormat="1" ht="20.2" customHeight="1" x14ac:dyDescent="0.45">
      <c r="A46" s="144"/>
      <c r="B46" s="138"/>
      <c r="C46" s="138"/>
      <c r="D46" s="136"/>
    </row>
    <row r="47" spans="1:6" s="149" customFormat="1" ht="17.649999999999999" x14ac:dyDescent="0.5">
      <c r="A47" s="303" t="s">
        <v>90</v>
      </c>
      <c r="B47" s="304"/>
      <c r="C47" s="304"/>
      <c r="D47" s="136"/>
    </row>
    <row r="48" spans="1:6" s="149" customFormat="1" ht="20.2" customHeight="1" x14ac:dyDescent="0.45">
      <c r="A48" s="144"/>
      <c r="B48" s="138" t="s">
        <v>109</v>
      </c>
      <c r="C48" s="138"/>
      <c r="D48" s="141">
        <v>3500000</v>
      </c>
      <c r="F48" s="149" t="s">
        <v>168</v>
      </c>
    </row>
    <row r="49" spans="1:6" s="149" customFormat="1" ht="20.2" customHeight="1" x14ac:dyDescent="0.45">
      <c r="A49" s="144"/>
      <c r="B49" s="138" t="s">
        <v>112</v>
      </c>
      <c r="C49" s="138"/>
      <c r="D49" s="136">
        <f>D48</f>
        <v>3500000</v>
      </c>
      <c r="F49" s="230">
        <f>ROUND(SUM(D49,D78,D82,D86,D89)/1000,0)</f>
        <v>40000</v>
      </c>
    </row>
    <row r="50" spans="1:6" s="149" customFormat="1" ht="20.2" customHeight="1" x14ac:dyDescent="0.45">
      <c r="A50" s="144"/>
      <c r="B50" s="138"/>
      <c r="C50" s="138"/>
      <c r="D50" s="136"/>
    </row>
    <row r="51" spans="1:6" s="149" customFormat="1" ht="17.649999999999999" x14ac:dyDescent="0.5">
      <c r="A51" s="145" t="s">
        <v>125</v>
      </c>
      <c r="B51" s="138"/>
      <c r="C51" s="138"/>
      <c r="D51" s="146"/>
      <c r="E51" s="150"/>
    </row>
    <row r="52" spans="1:6" ht="17.25" x14ac:dyDescent="0.45">
      <c r="A52" s="144"/>
      <c r="B52" s="138" t="s">
        <v>109</v>
      </c>
      <c r="C52" s="138"/>
      <c r="D52" s="136">
        <v>644033664</v>
      </c>
      <c r="E52" s="150"/>
    </row>
    <row r="53" spans="1:6" ht="17.25" x14ac:dyDescent="0.45">
      <c r="A53" s="144"/>
      <c r="B53" s="138" t="s">
        <v>124</v>
      </c>
      <c r="C53" s="138"/>
      <c r="D53" s="136">
        <v>-3566498</v>
      </c>
      <c r="E53" s="41"/>
      <c r="F53" s="151"/>
    </row>
    <row r="54" spans="1:6" ht="17.25" x14ac:dyDescent="0.45">
      <c r="A54" s="144"/>
      <c r="B54" s="138" t="s">
        <v>120</v>
      </c>
      <c r="C54" s="138"/>
      <c r="D54" s="136">
        <v>85648257.111404806</v>
      </c>
      <c r="E54" s="41"/>
    </row>
    <row r="55" spans="1:6" ht="17.25" x14ac:dyDescent="0.45">
      <c r="A55" s="144"/>
      <c r="B55" s="138" t="s">
        <v>111</v>
      </c>
      <c r="C55" s="138"/>
      <c r="D55" s="141">
        <v>1081909.04</v>
      </c>
      <c r="E55" s="41"/>
      <c r="F55" s="149" t="s">
        <v>167</v>
      </c>
    </row>
    <row r="56" spans="1:6" ht="17.25" x14ac:dyDescent="0.45">
      <c r="A56" s="144"/>
      <c r="B56" s="138" t="s">
        <v>112</v>
      </c>
      <c r="C56" s="138"/>
      <c r="D56" s="136">
        <f>SUM(D52:D55)</f>
        <v>727197332.15140474</v>
      </c>
      <c r="E56" s="41"/>
      <c r="F56" s="184">
        <f>ROUND(SUM(D52:D53,D55)/1000,0)</f>
        <v>641549</v>
      </c>
    </row>
    <row r="57" spans="1:6" ht="17.25" x14ac:dyDescent="0.45">
      <c r="A57" s="144"/>
      <c r="B57" s="138"/>
      <c r="C57" s="138"/>
      <c r="D57" s="146"/>
      <c r="E57" s="41"/>
    </row>
    <row r="58" spans="1:6" ht="17.649999999999999" x14ac:dyDescent="0.5">
      <c r="A58" s="145" t="s">
        <v>126</v>
      </c>
      <c r="B58" s="138"/>
      <c r="C58" s="138"/>
      <c r="D58" s="152"/>
      <c r="E58" s="41"/>
      <c r="F58" t="s">
        <v>204</v>
      </c>
    </row>
    <row r="59" spans="1:6" ht="17.25" x14ac:dyDescent="0.45">
      <c r="A59" s="144"/>
      <c r="B59" s="138" t="s">
        <v>109</v>
      </c>
      <c r="C59" s="138"/>
      <c r="D59" s="136">
        <v>14265993.16</v>
      </c>
      <c r="E59" s="41"/>
      <c r="F59" s="184">
        <f>ROUND(D59/1000,0)</f>
        <v>14266</v>
      </c>
    </row>
    <row r="60" spans="1:6" ht="17.25" x14ac:dyDescent="0.45">
      <c r="A60" s="144"/>
      <c r="B60" s="138" t="s">
        <v>127</v>
      </c>
      <c r="C60" s="138"/>
      <c r="D60" s="139">
        <v>-2139899</v>
      </c>
    </row>
    <row r="61" spans="1:6" ht="17.25" x14ac:dyDescent="0.45">
      <c r="A61" s="144"/>
      <c r="B61" s="138" t="s">
        <v>112</v>
      </c>
      <c r="C61" s="138"/>
      <c r="D61" s="136">
        <f>SUM(D59:D60)</f>
        <v>12126094.16</v>
      </c>
    </row>
    <row r="62" spans="1:6" ht="17.25" x14ac:dyDescent="0.45">
      <c r="A62" s="144"/>
      <c r="B62" s="138"/>
      <c r="C62" s="138"/>
      <c r="D62" s="146"/>
    </row>
    <row r="63" spans="1:6" ht="36" customHeight="1" x14ac:dyDescent="0.5">
      <c r="A63" s="280" t="s">
        <v>128</v>
      </c>
      <c r="B63" s="301"/>
      <c r="C63" s="301"/>
      <c r="D63" s="152"/>
      <c r="F63" t="s">
        <v>194</v>
      </c>
    </row>
    <row r="64" spans="1:6" ht="18" customHeight="1" x14ac:dyDescent="0.45">
      <c r="A64" s="144"/>
      <c r="B64" s="138" t="s">
        <v>109</v>
      </c>
      <c r="C64" s="138"/>
      <c r="D64" s="136">
        <v>30000000</v>
      </c>
      <c r="F64" s="184">
        <f>(SUM(D64,D69)/1000)</f>
        <v>35000</v>
      </c>
    </row>
    <row r="65" spans="1:6" ht="18" customHeight="1" x14ac:dyDescent="0.45">
      <c r="A65" s="144"/>
      <c r="B65" s="138" t="s">
        <v>111</v>
      </c>
      <c r="C65" s="138"/>
      <c r="D65" s="141">
        <v>2604193</v>
      </c>
    </row>
    <row r="66" spans="1:6" ht="17.25" x14ac:dyDescent="0.45">
      <c r="A66" s="144"/>
      <c r="B66" s="138" t="s">
        <v>112</v>
      </c>
      <c r="C66" s="138"/>
      <c r="D66" s="136">
        <f>SUM(D64:D65)</f>
        <v>32604193</v>
      </c>
    </row>
    <row r="67" spans="1:6" ht="17.25" x14ac:dyDescent="0.45">
      <c r="A67" s="144"/>
      <c r="B67" s="138"/>
      <c r="C67" s="138"/>
      <c r="D67" s="136"/>
    </row>
    <row r="68" spans="1:6" ht="40.5" customHeight="1" x14ac:dyDescent="0.5">
      <c r="A68" s="280" t="s">
        <v>129</v>
      </c>
      <c r="B68" s="301"/>
      <c r="C68" s="301"/>
      <c r="D68" s="136"/>
    </row>
    <row r="69" spans="1:6" ht="17.25" x14ac:dyDescent="0.45">
      <c r="A69" s="144"/>
      <c r="B69" s="138" t="s">
        <v>109</v>
      </c>
      <c r="C69" s="138"/>
      <c r="D69" s="141">
        <v>5000000</v>
      </c>
    </row>
    <row r="70" spans="1:6" ht="17.649999999999999" x14ac:dyDescent="0.5">
      <c r="A70" s="144"/>
      <c r="B70" s="138" t="s">
        <v>112</v>
      </c>
      <c r="C70" s="153"/>
      <c r="D70" s="137">
        <f>D69</f>
        <v>5000000</v>
      </c>
    </row>
    <row r="71" spans="1:6" ht="17.25" x14ac:dyDescent="0.45">
      <c r="A71" s="144"/>
      <c r="B71" s="138"/>
      <c r="C71" s="138"/>
      <c r="D71" s="136"/>
    </row>
    <row r="72" spans="1:6" ht="38.25" customHeight="1" x14ac:dyDescent="0.5">
      <c r="A72" s="280" t="s">
        <v>130</v>
      </c>
      <c r="B72" s="301"/>
      <c r="C72" s="301"/>
      <c r="D72" s="136"/>
      <c r="F72" t="s">
        <v>203</v>
      </c>
    </row>
    <row r="73" spans="1:6" ht="17.25" x14ac:dyDescent="0.45">
      <c r="A73" s="144"/>
      <c r="B73" s="138" t="s">
        <v>109</v>
      </c>
      <c r="C73" s="138"/>
      <c r="D73" s="141">
        <v>20000000</v>
      </c>
      <c r="F73" s="184">
        <f>D73/1000</f>
        <v>20000</v>
      </c>
    </row>
    <row r="74" spans="1:6" ht="20.2" customHeight="1" x14ac:dyDescent="0.45">
      <c r="A74" s="144"/>
      <c r="B74" s="138" t="s">
        <v>131</v>
      </c>
      <c r="C74" s="138"/>
      <c r="D74" s="136">
        <f>SUM(D73:D73)</f>
        <v>20000000</v>
      </c>
    </row>
    <row r="75" spans="1:6" ht="20.2" customHeight="1" x14ac:dyDescent="0.45">
      <c r="A75" s="144"/>
      <c r="B75" s="138"/>
      <c r="C75" s="138"/>
      <c r="D75" s="136"/>
    </row>
    <row r="76" spans="1:6" ht="20.2" customHeight="1" x14ac:dyDescent="0.5">
      <c r="A76" s="145" t="s">
        <v>95</v>
      </c>
      <c r="B76" s="154"/>
      <c r="C76" s="154"/>
      <c r="D76" s="146"/>
    </row>
    <row r="77" spans="1:6" ht="20.2" customHeight="1" x14ac:dyDescent="0.45">
      <c r="A77" s="144"/>
      <c r="B77" s="138" t="s">
        <v>109</v>
      </c>
      <c r="C77" s="138"/>
      <c r="D77" s="141">
        <v>25500000</v>
      </c>
    </row>
    <row r="78" spans="1:6" ht="20.2" customHeight="1" x14ac:dyDescent="0.45">
      <c r="A78" s="144"/>
      <c r="B78" s="138" t="s">
        <v>131</v>
      </c>
      <c r="C78" s="138"/>
      <c r="D78" s="136">
        <f>SUM(D77:D77)</f>
        <v>25500000</v>
      </c>
    </row>
    <row r="79" spans="1:6" ht="20.2" customHeight="1" x14ac:dyDescent="0.45">
      <c r="A79" s="144"/>
      <c r="B79" s="138"/>
      <c r="C79" s="138"/>
      <c r="D79" s="136"/>
    </row>
    <row r="80" spans="1:6" ht="20.2" customHeight="1" x14ac:dyDescent="0.5">
      <c r="A80" s="145" t="s">
        <v>100</v>
      </c>
      <c r="B80" s="155"/>
      <c r="C80" s="155"/>
      <c r="D80" s="136"/>
    </row>
    <row r="81" spans="1:6" ht="17.649999999999999" x14ac:dyDescent="0.5">
      <c r="A81" s="145"/>
      <c r="B81" s="138" t="s">
        <v>109</v>
      </c>
      <c r="C81" s="154"/>
      <c r="D81" s="141">
        <v>3000000</v>
      </c>
    </row>
    <row r="82" spans="1:6" ht="20.2" customHeight="1" x14ac:dyDescent="0.45">
      <c r="A82" s="144"/>
      <c r="B82" s="138" t="s">
        <v>131</v>
      </c>
      <c r="C82" s="138"/>
      <c r="D82" s="136">
        <f>SUM(D81:D81)</f>
        <v>3000000</v>
      </c>
    </row>
    <row r="83" spans="1:6" ht="20.2" customHeight="1" x14ac:dyDescent="0.45">
      <c r="A83" s="144"/>
      <c r="B83" s="138"/>
      <c r="C83" s="138"/>
      <c r="D83" s="136"/>
    </row>
    <row r="84" spans="1:6" ht="39.75" customHeight="1" x14ac:dyDescent="0.5">
      <c r="A84" s="280" t="s">
        <v>101</v>
      </c>
      <c r="B84" s="301"/>
      <c r="C84" s="301"/>
      <c r="D84" s="136"/>
    </row>
    <row r="85" spans="1:6" ht="17.649999999999999" x14ac:dyDescent="0.5">
      <c r="A85" s="145"/>
      <c r="B85" s="138" t="s">
        <v>109</v>
      </c>
      <c r="C85" s="154"/>
      <c r="D85" s="141">
        <v>5000000</v>
      </c>
    </row>
    <row r="86" spans="1:6" ht="20.2" customHeight="1" x14ac:dyDescent="0.45">
      <c r="A86" s="144"/>
      <c r="B86" s="138" t="s">
        <v>131</v>
      </c>
      <c r="C86" s="138"/>
      <c r="D86" s="136">
        <f>SUM(D85:D85)</f>
        <v>5000000</v>
      </c>
    </row>
    <row r="87" spans="1:6" ht="20.2" customHeight="1" x14ac:dyDescent="0.45">
      <c r="A87" s="144"/>
      <c r="B87" s="138"/>
      <c r="C87" s="138"/>
      <c r="D87" s="136"/>
    </row>
    <row r="88" spans="1:6" ht="40.5" customHeight="1" x14ac:dyDescent="0.5">
      <c r="A88" s="280" t="s">
        <v>132</v>
      </c>
      <c r="B88" s="301"/>
      <c r="C88" s="301"/>
      <c r="D88" s="141">
        <v>3000000</v>
      </c>
    </row>
    <row r="89" spans="1:6" ht="17.25" x14ac:dyDescent="0.45">
      <c r="A89" s="144"/>
      <c r="B89" s="138"/>
      <c r="C89" s="138"/>
      <c r="D89" s="136">
        <f>SUM(D88:D88)</f>
        <v>3000000</v>
      </c>
    </row>
    <row r="90" spans="1:6" ht="20.2" customHeight="1" x14ac:dyDescent="0.45">
      <c r="A90" s="144"/>
      <c r="B90" s="138"/>
      <c r="C90" s="138"/>
      <c r="D90" s="136"/>
    </row>
    <row r="91" spans="1:6" ht="20.2" customHeight="1" x14ac:dyDescent="0.5">
      <c r="A91" s="145" t="s">
        <v>133</v>
      </c>
      <c r="B91" s="154"/>
      <c r="C91" s="154"/>
      <c r="D91" s="136"/>
      <c r="F91" t="s">
        <v>205</v>
      </c>
    </row>
    <row r="92" spans="1:6" ht="20.2" customHeight="1" x14ac:dyDescent="0.45">
      <c r="A92" s="144"/>
      <c r="B92" s="138" t="s">
        <v>109</v>
      </c>
      <c r="C92" s="138"/>
      <c r="D92" s="141">
        <v>14000000</v>
      </c>
      <c r="F92" s="184">
        <f>D92/1000</f>
        <v>14000</v>
      </c>
    </row>
    <row r="93" spans="1:6" ht="20.2" customHeight="1" x14ac:dyDescent="0.45">
      <c r="A93" s="144"/>
      <c r="B93" s="138" t="s">
        <v>131</v>
      </c>
      <c r="C93" s="138"/>
      <c r="D93" s="136">
        <f>SUM(D92:D92)</f>
        <v>14000000</v>
      </c>
    </row>
    <row r="94" spans="1:6" ht="20.2" customHeight="1" x14ac:dyDescent="0.45">
      <c r="A94" s="144"/>
      <c r="B94" s="138"/>
      <c r="C94" s="138"/>
      <c r="D94" s="136"/>
    </row>
    <row r="95" spans="1:6" ht="20.2" customHeight="1" x14ac:dyDescent="0.5">
      <c r="A95" s="145" t="s">
        <v>134</v>
      </c>
      <c r="B95" s="156"/>
      <c r="C95" s="156"/>
      <c r="D95" s="152"/>
    </row>
    <row r="96" spans="1:6" ht="21.75" customHeight="1" x14ac:dyDescent="0.5">
      <c r="A96" s="145"/>
      <c r="B96" s="138" t="s">
        <v>109</v>
      </c>
      <c r="C96" s="156"/>
      <c r="D96" s="136">
        <v>2683798369</v>
      </c>
    </row>
    <row r="97" spans="1:7" ht="21.75" customHeight="1" x14ac:dyDescent="0.45">
      <c r="A97" s="144"/>
      <c r="B97" s="138" t="s">
        <v>135</v>
      </c>
      <c r="C97" s="138"/>
      <c r="D97" s="136">
        <v>-26837984</v>
      </c>
    </row>
    <row r="98" spans="1:7" ht="17.25" x14ac:dyDescent="0.45">
      <c r="A98" s="144"/>
      <c r="B98" s="138" t="s">
        <v>136</v>
      </c>
      <c r="C98" s="138"/>
      <c r="D98" s="136">
        <v>2581237014.0275002</v>
      </c>
      <c r="F98" t="s">
        <v>8</v>
      </c>
    </row>
    <row r="99" spans="1:7" ht="17.25" x14ac:dyDescent="0.45">
      <c r="A99" s="144"/>
      <c r="B99" s="284" t="s">
        <v>137</v>
      </c>
      <c r="C99" s="281"/>
      <c r="D99" s="141">
        <v>75723370.972499996</v>
      </c>
      <c r="E99" s="85"/>
      <c r="F99" s="184">
        <f>ROUND(SUM(D100,D105,D126),0)/1000</f>
        <v>5243045.5480000004</v>
      </c>
    </row>
    <row r="100" spans="1:7" ht="20.25" customHeight="1" x14ac:dyDescent="0.45">
      <c r="A100" s="144"/>
      <c r="B100" s="138" t="s">
        <v>112</v>
      </c>
      <c r="C100" s="138"/>
      <c r="D100" s="136">
        <f>SUM(D98:D99)</f>
        <v>2656960385</v>
      </c>
      <c r="E100" s="85"/>
    </row>
    <row r="101" spans="1:7" ht="17.25" x14ac:dyDescent="0.45">
      <c r="A101" s="144"/>
      <c r="B101" s="138"/>
      <c r="C101" s="138"/>
      <c r="D101" s="136"/>
    </row>
    <row r="102" spans="1:7" ht="15.75" customHeight="1" x14ac:dyDescent="0.5">
      <c r="A102" s="145" t="s">
        <v>138</v>
      </c>
      <c r="B102" s="138"/>
      <c r="C102" s="138"/>
      <c r="D102" s="146"/>
    </row>
    <row r="103" spans="1:7" ht="19.5" customHeight="1" x14ac:dyDescent="0.45">
      <c r="A103" s="144"/>
      <c r="B103" s="138" t="s">
        <v>109</v>
      </c>
      <c r="C103" s="138"/>
      <c r="D103" s="136">
        <v>632609736</v>
      </c>
    </row>
    <row r="104" spans="1:7" ht="17.25" x14ac:dyDescent="0.45">
      <c r="A104" s="144"/>
      <c r="B104" s="138" t="s">
        <v>116</v>
      </c>
      <c r="C104" s="138"/>
      <c r="D104" s="141">
        <v>-4744573</v>
      </c>
    </row>
    <row r="105" spans="1:7" ht="17.25" x14ac:dyDescent="0.45">
      <c r="A105" s="144"/>
      <c r="B105" s="138" t="s">
        <v>112</v>
      </c>
      <c r="C105" s="138"/>
      <c r="D105" s="136">
        <f>SUM(D103:D104)</f>
        <v>627865163</v>
      </c>
    </row>
    <row r="106" spans="1:7" ht="17.25" x14ac:dyDescent="0.45">
      <c r="A106" s="134"/>
      <c r="B106" s="135"/>
      <c r="C106" s="135"/>
      <c r="D106" s="146"/>
    </row>
    <row r="107" spans="1:7" ht="17.649999999999999" x14ac:dyDescent="0.5">
      <c r="A107" s="157" t="s">
        <v>139</v>
      </c>
      <c r="B107" s="158"/>
      <c r="C107" s="158"/>
      <c r="D107" s="146"/>
    </row>
    <row r="108" spans="1:7" ht="17.25" x14ac:dyDescent="0.45">
      <c r="A108" s="144"/>
      <c r="B108" s="138" t="s">
        <v>109</v>
      </c>
      <c r="C108" s="138"/>
      <c r="D108" s="136">
        <v>589044179</v>
      </c>
    </row>
    <row r="109" spans="1:7" ht="17.25" x14ac:dyDescent="0.45">
      <c r="A109" s="144"/>
      <c r="B109" s="138" t="s">
        <v>116</v>
      </c>
      <c r="C109" s="138"/>
      <c r="D109" s="136">
        <v>-4417831</v>
      </c>
      <c r="E109" s="151"/>
      <c r="G109" s="151"/>
    </row>
    <row r="110" spans="1:7" ht="17.25" x14ac:dyDescent="0.45">
      <c r="A110" s="144"/>
      <c r="B110" s="138" t="s">
        <v>140</v>
      </c>
      <c r="C110" s="138"/>
      <c r="D110" s="141">
        <f>-D114</f>
        <v>-130000000</v>
      </c>
    </row>
    <row r="111" spans="1:7" ht="17.25" x14ac:dyDescent="0.45">
      <c r="A111" s="144"/>
      <c r="B111" s="138" t="s">
        <v>112</v>
      </c>
      <c r="C111" s="138"/>
      <c r="D111" s="136">
        <f>SUM(D108:D110)</f>
        <v>454626348</v>
      </c>
    </row>
    <row r="112" spans="1:7" ht="17.25" x14ac:dyDescent="0.45">
      <c r="A112" s="144"/>
      <c r="B112" s="138"/>
      <c r="C112" s="138"/>
      <c r="D112" s="159"/>
    </row>
    <row r="113" spans="1:6" ht="17.649999999999999" x14ac:dyDescent="0.5">
      <c r="A113" s="145" t="s">
        <v>141</v>
      </c>
      <c r="B113" s="160"/>
      <c r="C113" s="160"/>
      <c r="D113" s="159"/>
    </row>
    <row r="114" spans="1:6" ht="17.25" x14ac:dyDescent="0.45">
      <c r="A114" s="144"/>
      <c r="B114" s="138" t="s">
        <v>109</v>
      </c>
      <c r="C114" s="138"/>
      <c r="D114" s="139">
        <f>55000000+75000000</f>
        <v>130000000</v>
      </c>
    </row>
    <row r="115" spans="1:6" ht="17.25" x14ac:dyDescent="0.45">
      <c r="A115" s="144"/>
      <c r="B115" s="138" t="s">
        <v>131</v>
      </c>
      <c r="C115" s="138"/>
      <c r="D115" s="137">
        <f>D114</f>
        <v>130000000</v>
      </c>
    </row>
    <row r="116" spans="1:6" ht="17.25" x14ac:dyDescent="0.45">
      <c r="A116" s="144"/>
      <c r="B116" s="138"/>
      <c r="C116" s="138"/>
      <c r="D116" s="137"/>
    </row>
    <row r="117" spans="1:6" ht="38.25" customHeight="1" x14ac:dyDescent="0.5">
      <c r="A117" s="280" t="s">
        <v>142</v>
      </c>
      <c r="B117" s="301"/>
      <c r="C117" s="301"/>
      <c r="D117" s="161"/>
      <c r="F117" t="s">
        <v>199</v>
      </c>
    </row>
    <row r="118" spans="1:6" ht="17.25" x14ac:dyDescent="0.45">
      <c r="A118" s="144"/>
      <c r="B118" s="138"/>
      <c r="C118" s="138"/>
      <c r="D118" s="162">
        <v>8500000</v>
      </c>
      <c r="F118" s="184">
        <f>D118/1000</f>
        <v>8500</v>
      </c>
    </row>
    <row r="119" spans="1:6" ht="17.25" x14ac:dyDescent="0.45">
      <c r="A119" s="144"/>
      <c r="B119" s="138" t="s">
        <v>131</v>
      </c>
      <c r="C119" s="138"/>
      <c r="D119" s="161">
        <f>D118</f>
        <v>8500000</v>
      </c>
    </row>
    <row r="120" spans="1:6" ht="17.649999999999999" thickBot="1" x14ac:dyDescent="0.5">
      <c r="A120" s="144"/>
      <c r="B120" s="138"/>
      <c r="C120" s="138"/>
      <c r="D120" s="161"/>
    </row>
    <row r="121" spans="1:6" ht="17.649999999999999" thickBot="1" x14ac:dyDescent="0.5">
      <c r="A121" s="163"/>
      <c r="B121" s="164"/>
      <c r="C121" s="164"/>
      <c r="D121" s="165"/>
    </row>
    <row r="122" spans="1:6" ht="22.5" customHeight="1" x14ac:dyDescent="0.45">
      <c r="A122" s="144"/>
      <c r="B122" s="138"/>
      <c r="C122" s="138"/>
      <c r="D122" s="146"/>
    </row>
    <row r="123" spans="1:6" ht="20.25" customHeight="1" x14ac:dyDescent="0.5">
      <c r="A123" s="145" t="s">
        <v>143</v>
      </c>
      <c r="B123" s="138"/>
      <c r="C123" s="138"/>
      <c r="D123" s="146"/>
    </row>
    <row r="124" spans="1:6" ht="17.25" x14ac:dyDescent="0.45">
      <c r="A124" s="144"/>
      <c r="B124" s="138" t="s">
        <v>109</v>
      </c>
      <c r="C124" s="138"/>
      <c r="D124" s="166">
        <v>1978000000</v>
      </c>
    </row>
    <row r="125" spans="1:6" ht="17.25" x14ac:dyDescent="0.45">
      <c r="A125" s="144"/>
      <c r="B125" s="138" t="s">
        <v>144</v>
      </c>
      <c r="C125" s="138"/>
      <c r="D125" s="167">
        <f>D124*-1%</f>
        <v>-19780000</v>
      </c>
    </row>
    <row r="126" spans="1:6" ht="17.25" x14ac:dyDescent="0.45">
      <c r="A126" s="144"/>
      <c r="B126" s="138" t="s">
        <v>112</v>
      </c>
      <c r="C126" s="138"/>
      <c r="D126" s="168">
        <f>D124+D125</f>
        <v>1958220000</v>
      </c>
    </row>
    <row r="127" spans="1:6" ht="17.649999999999999" thickBot="1" x14ac:dyDescent="0.5">
      <c r="A127" s="144"/>
      <c r="B127" s="138"/>
      <c r="C127" s="138"/>
      <c r="D127" s="146"/>
    </row>
    <row r="128" spans="1:6" ht="18" thickBot="1" x14ac:dyDescent="0.5">
      <c r="A128" s="169"/>
      <c r="B128" s="170"/>
      <c r="C128" s="170"/>
      <c r="D128" s="171"/>
    </row>
    <row r="129" spans="1:6" ht="22.5" customHeight="1" x14ac:dyDescent="0.45">
      <c r="A129" s="144"/>
      <c r="B129" s="138"/>
      <c r="C129" s="138"/>
      <c r="D129" s="146"/>
    </row>
    <row r="130" spans="1:6" ht="18" customHeight="1" x14ac:dyDescent="0.5">
      <c r="A130" s="142" t="s">
        <v>93</v>
      </c>
      <c r="B130" s="138"/>
      <c r="C130" s="138"/>
      <c r="D130" s="146"/>
    </row>
    <row r="131" spans="1:6" ht="17.25" x14ac:dyDescent="0.45">
      <c r="A131" s="143"/>
      <c r="B131" s="138" t="s">
        <v>109</v>
      </c>
      <c r="C131" s="138"/>
      <c r="D131" s="168">
        <v>150000000</v>
      </c>
    </row>
    <row r="132" spans="1:6" ht="17.25" customHeight="1" x14ac:dyDescent="0.45">
      <c r="A132" s="143"/>
      <c r="B132" s="138" t="s">
        <v>135</v>
      </c>
      <c r="C132" s="138"/>
      <c r="D132" s="167">
        <v>-1500000</v>
      </c>
      <c r="F132" t="s">
        <v>172</v>
      </c>
    </row>
    <row r="133" spans="1:6" ht="17.25" x14ac:dyDescent="0.45">
      <c r="A133" s="143"/>
      <c r="B133" s="138" t="s">
        <v>112</v>
      </c>
      <c r="C133" s="138"/>
      <c r="D133" s="168">
        <f>SUM(D131:D132)</f>
        <v>148500000</v>
      </c>
      <c r="F133" s="184">
        <f>D133/1000</f>
        <v>148500</v>
      </c>
    </row>
    <row r="134" spans="1:6" ht="17.649999999999999" thickBot="1" x14ac:dyDescent="0.5">
      <c r="A134" s="172"/>
      <c r="B134" s="173"/>
      <c r="C134" s="173"/>
      <c r="D134" s="174"/>
    </row>
    <row r="135" spans="1:6" ht="31.5" customHeight="1" x14ac:dyDescent="0.45">
      <c r="A135" s="175" t="s">
        <v>145</v>
      </c>
      <c r="B135" s="176"/>
      <c r="C135" s="176"/>
      <c r="D135" s="177">
        <f>+D9+D15+D20+D24+D28+D29+D42+D48+D52+D54+D59+D64+D69+D73+D77+D81+D92+D96+D103+D124+D131+D108+D85+D88+D118</f>
        <v>12786348462.081234</v>
      </c>
      <c r="F135" t="s">
        <v>175</v>
      </c>
    </row>
    <row r="136" spans="1:6" ht="32.25" customHeight="1" thickBot="1" x14ac:dyDescent="0.5">
      <c r="A136" s="178" t="s">
        <v>146</v>
      </c>
      <c r="B136" s="179"/>
      <c r="C136" s="179"/>
      <c r="D136" s="180">
        <f>+D12+D17+D31+D100+D45+D56+D61+D66+D70+D74+D105+D126+D133+D21+D78+D93+D111+D49+D86+D89+D82+D35+D115+D39+D119</f>
        <v>12707542478.853735</v>
      </c>
      <c r="F136" s="184">
        <f>ROUND(SUM(D10,D16,D25:D26,D43,D53,D97,D104,D125,D132)/1000,0)</f>
        <v>-120185</v>
      </c>
    </row>
    <row r="137" spans="1:6" ht="39.700000000000003" customHeight="1" x14ac:dyDescent="0.45">
      <c r="A137" s="181"/>
      <c r="B137" s="181"/>
      <c r="C137" s="181"/>
      <c r="D137" s="182"/>
    </row>
    <row r="138" spans="1:6" ht="24.75" customHeight="1" x14ac:dyDescent="0.45"/>
    <row r="139" spans="1:6" ht="12" customHeight="1" x14ac:dyDescent="0.45"/>
    <row r="140" spans="1:6" ht="12" customHeight="1" x14ac:dyDescent="0.45"/>
    <row r="141" spans="1:6" ht="12" customHeight="1" x14ac:dyDescent="0.45"/>
    <row r="142" spans="1:6" ht="12" customHeight="1" x14ac:dyDescent="0.45"/>
    <row r="143" spans="1:6" ht="12" customHeight="1" x14ac:dyDescent="0.45"/>
    <row r="144" spans="1:6" ht="12" customHeight="1" x14ac:dyDescent="0.45"/>
    <row r="145" ht="12" customHeight="1" x14ac:dyDescent="0.45"/>
    <row r="146" ht="12" customHeight="1" x14ac:dyDescent="0.45"/>
    <row r="147" ht="12" customHeight="1" x14ac:dyDescent="0.45"/>
    <row r="148" ht="12" customHeight="1" x14ac:dyDescent="0.45"/>
    <row r="149" ht="12" customHeight="1" x14ac:dyDescent="0.45"/>
    <row r="150" ht="12" customHeight="1" x14ac:dyDescent="0.45"/>
    <row r="151" ht="12" customHeight="1" x14ac:dyDescent="0.45"/>
    <row r="152" ht="12" customHeight="1" x14ac:dyDescent="0.45"/>
    <row r="153" ht="12" customHeight="1" x14ac:dyDescent="0.45"/>
    <row r="154" ht="12" customHeight="1" x14ac:dyDescent="0.45"/>
    <row r="155" ht="12" customHeight="1" x14ac:dyDescent="0.45"/>
    <row r="156" ht="12" customHeight="1" x14ac:dyDescent="0.45"/>
    <row r="157" ht="12" customHeight="1" x14ac:dyDescent="0.45"/>
    <row r="158" ht="12" customHeight="1" x14ac:dyDescent="0.45"/>
    <row r="159" ht="12" customHeight="1" x14ac:dyDescent="0.45"/>
    <row r="160" ht="12" customHeight="1" x14ac:dyDescent="0.45"/>
    <row r="161" ht="12" customHeight="1" x14ac:dyDescent="0.45"/>
    <row r="162" ht="12" customHeight="1" x14ac:dyDescent="0.45"/>
    <row r="163" ht="12" customHeight="1" x14ac:dyDescent="0.45"/>
    <row r="164" ht="12" customHeight="1" x14ac:dyDescent="0.45"/>
    <row r="165" ht="12" customHeight="1" x14ac:dyDescent="0.45"/>
    <row r="166" ht="12" customHeight="1" x14ac:dyDescent="0.45"/>
    <row r="167" ht="12" customHeight="1" x14ac:dyDescent="0.45"/>
    <row r="168" ht="12" customHeight="1" x14ac:dyDescent="0.45"/>
    <row r="169" ht="12" customHeight="1" x14ac:dyDescent="0.45"/>
    <row r="170" ht="12" customHeight="1" x14ac:dyDescent="0.45"/>
    <row r="171" ht="12" customHeight="1" x14ac:dyDescent="0.45"/>
    <row r="172" ht="12" customHeight="1" x14ac:dyDescent="0.45"/>
    <row r="173" ht="12" customHeight="1" x14ac:dyDescent="0.45"/>
    <row r="174" ht="12" customHeight="1" x14ac:dyDescent="0.45"/>
    <row r="175" ht="12" customHeight="1" x14ac:dyDescent="0.45"/>
    <row r="176" ht="12" customHeight="1" x14ac:dyDescent="0.45"/>
    <row r="177" ht="12" customHeight="1" x14ac:dyDescent="0.45"/>
    <row r="178" ht="12" customHeight="1" x14ac:dyDescent="0.45"/>
    <row r="179" ht="12" customHeight="1" x14ac:dyDescent="0.45"/>
    <row r="180" ht="12" customHeight="1" x14ac:dyDescent="0.45"/>
    <row r="181" ht="12" customHeight="1" x14ac:dyDescent="0.45"/>
    <row r="182" ht="12" customHeight="1" x14ac:dyDescent="0.45"/>
    <row r="183" ht="12" customHeight="1" x14ac:dyDescent="0.45"/>
    <row r="184" ht="12" customHeight="1" x14ac:dyDescent="0.45"/>
    <row r="185" ht="12" customHeight="1" x14ac:dyDescent="0.45"/>
    <row r="186" ht="12" customHeight="1" x14ac:dyDescent="0.45"/>
    <row r="187" ht="12" customHeight="1" x14ac:dyDescent="0.45"/>
    <row r="188" ht="12" customHeight="1" x14ac:dyDescent="0.45"/>
    <row r="189" ht="12" customHeight="1" x14ac:dyDescent="0.45"/>
    <row r="190" ht="12" customHeight="1" x14ac:dyDescent="0.45"/>
    <row r="191" ht="12" customHeight="1" x14ac:dyDescent="0.45"/>
    <row r="192" ht="12" customHeight="1" x14ac:dyDescent="0.45"/>
    <row r="193" ht="12" customHeight="1" x14ac:dyDescent="0.45"/>
    <row r="194" ht="12" customHeight="1" x14ac:dyDescent="0.45"/>
    <row r="195" ht="12" customHeight="1" x14ac:dyDescent="0.45"/>
    <row r="196" ht="12" customHeight="1" x14ac:dyDescent="0.45"/>
    <row r="197" ht="12" customHeight="1" x14ac:dyDescent="0.45"/>
    <row r="198" ht="12" customHeight="1" x14ac:dyDescent="0.45"/>
    <row r="199" ht="12" customHeight="1" x14ac:dyDescent="0.45"/>
    <row r="200" ht="12" customHeight="1" x14ac:dyDescent="0.45"/>
    <row r="201" ht="12" customHeight="1" x14ac:dyDescent="0.45"/>
    <row r="202" ht="12" customHeight="1" x14ac:dyDescent="0.45"/>
    <row r="203" ht="12" customHeight="1" x14ac:dyDescent="0.45"/>
    <row r="204" ht="12" customHeight="1" x14ac:dyDescent="0.45"/>
    <row r="205" ht="12" customHeight="1" x14ac:dyDescent="0.45"/>
    <row r="206" ht="12" customHeight="1" x14ac:dyDescent="0.45"/>
    <row r="207" ht="12" customHeight="1" x14ac:dyDescent="0.45"/>
    <row r="208" ht="12" customHeight="1" x14ac:dyDescent="0.45"/>
    <row r="209" ht="12" customHeight="1" x14ac:dyDescent="0.45"/>
    <row r="210" ht="12" customHeight="1" x14ac:dyDescent="0.45"/>
    <row r="211" ht="12" customHeight="1" x14ac:dyDescent="0.45"/>
    <row r="212" ht="12" customHeight="1" x14ac:dyDescent="0.45"/>
    <row r="213" ht="12" customHeight="1" x14ac:dyDescent="0.45"/>
    <row r="214" ht="12" customHeight="1" x14ac:dyDescent="0.45"/>
    <row r="215" ht="12" customHeight="1" x14ac:dyDescent="0.45"/>
    <row r="216" ht="12" customHeight="1" x14ac:dyDescent="0.45"/>
    <row r="217" ht="12" customHeight="1" x14ac:dyDescent="0.45"/>
    <row r="218" ht="12" customHeight="1" x14ac:dyDescent="0.45"/>
    <row r="219" ht="12" customHeight="1" x14ac:dyDescent="0.45"/>
    <row r="220" ht="12" customHeight="1" x14ac:dyDescent="0.45"/>
    <row r="221" ht="12" customHeight="1" x14ac:dyDescent="0.45"/>
    <row r="222" ht="12" customHeight="1" x14ac:dyDescent="0.45"/>
    <row r="223" ht="12" customHeight="1" x14ac:dyDescent="0.45"/>
    <row r="224" ht="12" customHeight="1" x14ac:dyDescent="0.45"/>
    <row r="225" ht="12" customHeight="1" x14ac:dyDescent="0.45"/>
    <row r="226" ht="12" customHeight="1" x14ac:dyDescent="0.45"/>
    <row r="227" ht="12" customHeight="1" x14ac:dyDescent="0.45"/>
    <row r="228" ht="12" customHeight="1" x14ac:dyDescent="0.45"/>
    <row r="229" ht="12" customHeight="1" x14ac:dyDescent="0.45"/>
    <row r="230" ht="12" customHeight="1" x14ac:dyDescent="0.45"/>
    <row r="231" ht="12" customHeight="1" x14ac:dyDescent="0.45"/>
    <row r="232" ht="12" customHeight="1" x14ac:dyDescent="0.45"/>
    <row r="233" ht="12" customHeight="1" x14ac:dyDescent="0.45"/>
    <row r="234" ht="12" customHeight="1" x14ac:dyDescent="0.45"/>
    <row r="235" ht="12" customHeight="1" x14ac:dyDescent="0.45"/>
    <row r="236" ht="12" customHeight="1" x14ac:dyDescent="0.45"/>
    <row r="237" ht="12" customHeight="1" x14ac:dyDescent="0.45"/>
    <row r="238" ht="12" customHeight="1" x14ac:dyDescent="0.45"/>
    <row r="239" ht="12" customHeight="1" x14ac:dyDescent="0.45"/>
    <row r="240" ht="12" customHeight="1" x14ac:dyDescent="0.45"/>
    <row r="241" ht="12" customHeight="1" x14ac:dyDescent="0.45"/>
    <row r="242" ht="12" customHeight="1" x14ac:dyDescent="0.45"/>
    <row r="243" ht="12" customHeight="1" x14ac:dyDescent="0.45"/>
    <row r="244" ht="12" customHeight="1" x14ac:dyDescent="0.45"/>
    <row r="245" ht="12" customHeight="1" x14ac:dyDescent="0.45"/>
    <row r="246" ht="12" customHeight="1" x14ac:dyDescent="0.45"/>
    <row r="247" ht="12" customHeight="1" x14ac:dyDescent="0.45"/>
    <row r="248" ht="12" customHeight="1" x14ac:dyDescent="0.45"/>
    <row r="249" ht="12" customHeight="1" x14ac:dyDescent="0.45"/>
    <row r="250" ht="12" customHeight="1" x14ac:dyDescent="0.45"/>
    <row r="251" ht="12" customHeight="1" x14ac:dyDescent="0.45"/>
    <row r="252" ht="12" customHeight="1" x14ac:dyDescent="0.45"/>
    <row r="253" ht="12" customHeight="1" x14ac:dyDescent="0.45"/>
    <row r="254" ht="12" customHeight="1" x14ac:dyDescent="0.45"/>
    <row r="255" ht="12" customHeight="1" x14ac:dyDescent="0.45"/>
    <row r="256" ht="12" customHeight="1" x14ac:dyDescent="0.45"/>
    <row r="257" ht="12" customHeight="1" x14ac:dyDescent="0.45"/>
    <row r="258" ht="12" customHeight="1" x14ac:dyDescent="0.45"/>
    <row r="259" ht="12" customHeight="1" x14ac:dyDescent="0.45"/>
    <row r="260" ht="12" customHeight="1" x14ac:dyDescent="0.45"/>
    <row r="261" ht="12" customHeight="1" x14ac:dyDescent="0.45"/>
    <row r="262" ht="12" customHeight="1" x14ac:dyDescent="0.45"/>
  </sheetData>
  <mergeCells count="17">
    <mergeCell ref="A72:C72"/>
    <mergeCell ref="A84:C84"/>
    <mergeCell ref="A88:C88"/>
    <mergeCell ref="B99:C99"/>
    <mergeCell ref="A117:C117"/>
    <mergeCell ref="A68:C68"/>
    <mergeCell ref="A1:D1"/>
    <mergeCell ref="A2:D2"/>
    <mergeCell ref="A3:D3"/>
    <mergeCell ref="A4:D4"/>
    <mergeCell ref="A6:D6"/>
    <mergeCell ref="A8:D8"/>
    <mergeCell ref="A14:D14"/>
    <mergeCell ref="B25:C25"/>
    <mergeCell ref="A41:C41"/>
    <mergeCell ref="A47:C47"/>
    <mergeCell ref="A63:C63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/>
  </sheetViews>
  <sheetFormatPr defaultColWidth="8.73046875" defaultRowHeight="14.25" x14ac:dyDescent="0.45"/>
  <cols>
    <col min="1" max="1" width="25.265625" style="259" customWidth="1"/>
    <col min="2" max="2" width="61.46484375" style="259" customWidth="1"/>
    <col min="3" max="16384" width="8.73046875" style="233"/>
  </cols>
  <sheetData>
    <row r="1" spans="1:2" x14ac:dyDescent="0.45">
      <c r="A1" s="258" t="s">
        <v>192</v>
      </c>
    </row>
    <row r="2" spans="1:2" x14ac:dyDescent="0.45">
      <c r="A2" s="259" t="s">
        <v>176</v>
      </c>
    </row>
    <row r="3" spans="1:2" x14ac:dyDescent="0.45">
      <c r="A3" s="259" t="s">
        <v>177</v>
      </c>
    </row>
    <row r="5" spans="1:2" x14ac:dyDescent="0.45">
      <c r="A5" s="260" t="s">
        <v>191</v>
      </c>
    </row>
    <row r="6" spans="1:2" ht="28.5" x14ac:dyDescent="0.45">
      <c r="A6" s="262" t="s">
        <v>76</v>
      </c>
      <c r="B6" s="262" t="s">
        <v>230</v>
      </c>
    </row>
    <row r="7" spans="1:2" ht="57" x14ac:dyDescent="0.45">
      <c r="A7" s="262" t="s">
        <v>77</v>
      </c>
      <c r="B7" s="262" t="s">
        <v>231</v>
      </c>
    </row>
    <row r="8" spans="1:2" x14ac:dyDescent="0.45">
      <c r="A8" s="262" t="s">
        <v>8</v>
      </c>
      <c r="B8" s="262" t="s">
        <v>216</v>
      </c>
    </row>
    <row r="9" spans="1:2" x14ac:dyDescent="0.45">
      <c r="A9" s="262" t="s">
        <v>163</v>
      </c>
      <c r="B9" s="262" t="s">
        <v>178</v>
      </c>
    </row>
    <row r="10" spans="1:2" ht="28.5" x14ac:dyDescent="0.45">
      <c r="A10" s="262" t="s">
        <v>179</v>
      </c>
      <c r="B10" s="263" t="s">
        <v>180</v>
      </c>
    </row>
    <row r="11" spans="1:2" ht="28.5" x14ac:dyDescent="0.45">
      <c r="A11" s="262" t="s">
        <v>165</v>
      </c>
      <c r="B11" s="263" t="s">
        <v>181</v>
      </c>
    </row>
    <row r="12" spans="1:2" ht="71.25" x14ac:dyDescent="0.45">
      <c r="A12" s="262" t="s">
        <v>218</v>
      </c>
      <c r="B12" s="263" t="s">
        <v>219</v>
      </c>
    </row>
    <row r="13" spans="1:2" ht="42.75" x14ac:dyDescent="0.45">
      <c r="A13" s="262" t="s">
        <v>214</v>
      </c>
      <c r="B13" s="263" t="s">
        <v>221</v>
      </c>
    </row>
    <row r="14" spans="1:2" ht="28.5" x14ac:dyDescent="0.45">
      <c r="A14" s="262" t="s">
        <v>198</v>
      </c>
      <c r="B14" s="263" t="s">
        <v>217</v>
      </c>
    </row>
    <row r="15" spans="1:2" ht="28.5" x14ac:dyDescent="0.45">
      <c r="A15" s="262" t="s">
        <v>199</v>
      </c>
      <c r="B15" s="263" t="s">
        <v>142</v>
      </c>
    </row>
    <row r="16" spans="1:2" ht="114" x14ac:dyDescent="0.45">
      <c r="A16" s="262" t="s">
        <v>182</v>
      </c>
      <c r="B16" s="263" t="s">
        <v>183</v>
      </c>
    </row>
    <row r="17" spans="1:2" x14ac:dyDescent="0.45">
      <c r="A17" s="262" t="s">
        <v>169</v>
      </c>
      <c r="B17" s="263" t="s">
        <v>184</v>
      </c>
    </row>
    <row r="18" spans="1:2" x14ac:dyDescent="0.45">
      <c r="A18" s="262" t="s">
        <v>185</v>
      </c>
      <c r="B18" s="263" t="s">
        <v>186</v>
      </c>
    </row>
    <row r="19" spans="1:2" ht="57" x14ac:dyDescent="0.45">
      <c r="A19" s="262" t="s">
        <v>187</v>
      </c>
      <c r="B19" s="262" t="s">
        <v>188</v>
      </c>
    </row>
    <row r="20" spans="1:2" x14ac:dyDescent="0.45">
      <c r="A20" s="262" t="s">
        <v>189</v>
      </c>
      <c r="B20" s="262" t="s">
        <v>93</v>
      </c>
    </row>
    <row r="21" spans="1:2" ht="28.5" x14ac:dyDescent="0.45">
      <c r="A21" s="262" t="s">
        <v>190</v>
      </c>
      <c r="B21" s="262" t="s">
        <v>222</v>
      </c>
    </row>
    <row r="22" spans="1:2" ht="42.75" x14ac:dyDescent="0.45">
      <c r="A22" s="262" t="s">
        <v>215</v>
      </c>
      <c r="B22" s="263" t="s">
        <v>220</v>
      </c>
    </row>
    <row r="23" spans="1:2" x14ac:dyDescent="0.45">
      <c r="A23" s="261"/>
    </row>
    <row r="24" spans="1:2" ht="28.5" x14ac:dyDescent="0.45">
      <c r="A24" s="305" t="s">
        <v>227</v>
      </c>
      <c r="B24" s="262" t="s">
        <v>228</v>
      </c>
    </row>
    <row r="25" spans="1:2" ht="42.75" x14ac:dyDescent="0.45">
      <c r="A25" s="306"/>
      <c r="B25" s="262" t="s">
        <v>229</v>
      </c>
    </row>
    <row r="26" spans="1:2" ht="28.5" x14ac:dyDescent="0.45">
      <c r="A26" s="306"/>
      <c r="B26" s="262" t="s">
        <v>238</v>
      </c>
    </row>
    <row r="27" spans="1:2" ht="57" x14ac:dyDescent="0.45">
      <c r="A27" s="306"/>
      <c r="B27" s="262" t="s">
        <v>232</v>
      </c>
    </row>
    <row r="28" spans="1:2" ht="28.5" x14ac:dyDescent="0.45">
      <c r="A28" s="306"/>
      <c r="B28" s="262" t="s">
        <v>233</v>
      </c>
    </row>
    <row r="29" spans="1:2" ht="42.75" x14ac:dyDescent="0.45">
      <c r="A29" s="306"/>
      <c r="B29" s="262" t="s">
        <v>234</v>
      </c>
    </row>
    <row r="30" spans="1:2" ht="42.75" x14ac:dyDescent="0.45">
      <c r="A30" s="306"/>
      <c r="B30" s="262" t="s">
        <v>235</v>
      </c>
    </row>
    <row r="31" spans="1:2" ht="28.5" x14ac:dyDescent="0.45">
      <c r="A31" s="307"/>
      <c r="B31" s="262" t="s">
        <v>236</v>
      </c>
    </row>
  </sheetData>
  <mergeCells count="1">
    <mergeCell ref="A24: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2a (FY 2021)</vt:lpstr>
      <vt:lpstr>Table 1 (FY 2021)</vt:lpstr>
      <vt:lpstr>2a (FY 2020 Analyzed) - Ref</vt:lpstr>
      <vt:lpstr>Table 1 (FY 2020) - Ref</vt:lpstr>
      <vt:lpstr>Source-Procedure</vt:lpstr>
      <vt:lpstr>'Table 1 (FY 2020) - Ref'!Print_Area</vt:lpstr>
      <vt:lpstr>'Table 1 (FY 2021)'!Print_Area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2 - FTA APPROPRIATIONS (INCLUDES LOAN AUTHORITY, UNRESTRICTED AUTHORITY, AND CONTRACT AUTHORITY) 1980-2021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Chun, Piljin (FTA)</cp:lastModifiedBy>
  <dcterms:created xsi:type="dcterms:W3CDTF">2016-10-17T16:13:16Z</dcterms:created>
  <dcterms:modified xsi:type="dcterms:W3CDTF">2024-01-26T15:09:54Z</dcterms:modified>
</cp:coreProperties>
</file>