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ftanas\share\openarea\TPE\TPE-22\Website\Remediated Docs\2024\"/>
    </mc:Choice>
  </mc:AlternateContent>
  <xr:revisionPtr revIDLastSave="0" documentId="8_{886C57CA-37A3-4EBE-B81E-F02B99E4B4C4}" xr6:coauthVersionLast="47" xr6:coauthVersionMax="47" xr10:uidLastSave="{00000000-0000-0000-0000-000000000000}"/>
  <bookViews>
    <workbookView xWindow="-110" yWindow="-110" windowWidth="19420" windowHeight="10420" tabRatio="869" xr2:uid="{00000000-000D-0000-FFFF-FFFF00000000}"/>
  </bookViews>
  <sheets>
    <sheet name="Project Description" sheetId="1" r:id="rId1"/>
    <sheet name="Travel Forecasts Input" sheetId="18" r:id="rId2"/>
    <sheet name="Travel Forecasts for Evaluation" sheetId="13" r:id="rId3"/>
    <sheet name="Mobility Cost Eff &amp; Cong Relief" sheetId="2" r:id="rId4"/>
    <sheet name="Land Use" sheetId="5" r:id="rId5"/>
    <sheet name="Environmental Benefits" sheetId="11" r:id="rId6"/>
    <sheet name="Finance" sheetId="6" r:id="rId7"/>
    <sheet name="Rating Estimation" sheetId="17" r:id="rId8"/>
    <sheet name="Lookups" sheetId="15" state="hidden" r:id="rId9"/>
  </sheets>
  <definedNames>
    <definedName name="doesntMeetThresholds">Lookups!$L$22</definedName>
    <definedName name="_xlnm.Print_Area" localSheetId="5">'Environmental Benefits'!$A$1:$Q$168</definedName>
    <definedName name="_xlnm.Print_Area" localSheetId="6">Finance!$A$1:$F$163</definedName>
    <definedName name="_xlnm.Print_Area" localSheetId="4">'Land Use'!$A$1:$G$266</definedName>
    <definedName name="_xlnm.Print_Area" localSheetId="8">Lookups!$A$1:$C$32</definedName>
    <definedName name="_xlnm.Print_Area" localSheetId="3">'Mobility Cost Eff &amp; Cong Relief'!$A$1:$E$23</definedName>
    <definedName name="_xlnm.Print_Area" localSheetId="0">'Project Description'!$A$1:$D$194</definedName>
    <definedName name="_xlnm.Print_Area" localSheetId="2">'Travel Forecasts for Evaluation'!$A$1:$N$42</definedName>
    <definedName name="_xlnm.Print_Area" localSheetId="1">'Travel Forecasts Input'!$A$1:$N$42</definedName>
    <definedName name="warrantedMedium">Lookups!$L$21</definedName>
    <definedName name="Z_AB5399CE_BEB7_40AA_A66C_46449E135DF8_.wvu.PrintArea" localSheetId="6" hidden="1">Finance!$A$1:$F$163</definedName>
    <definedName name="Z_AB5399CE_BEB7_40AA_A66C_46449E135DF8_.wvu.PrintArea" localSheetId="4" hidden="1">'Land Use'!$A$1:$G$266</definedName>
    <definedName name="Z_AB5399CE_BEB7_40AA_A66C_46449E135DF8_.wvu.PrintArea" localSheetId="3" hidden="1">'Mobility Cost Eff &amp; Cong Relief'!$A$1:$E$23</definedName>
    <definedName name="Z_AB5399CE_BEB7_40AA_A66C_46449E135DF8_.wvu.PrintArea" localSheetId="0" hidden="1">'Project Description'!$A$1:$D$194</definedName>
  </definedNames>
  <calcPr calcId="191028"/>
  <customWorkbookViews>
    <customWorkbookView name="benjamin.owen - Personal View" guid="{AB5399CE-BEB7-40AA-A66C-46449E135DF8}" mergeInterval="0" personalView="1" maximized="1" windowWidth="1280" windowHeight="809"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3" l="1"/>
  <c r="J32" i="13" l="1"/>
  <c r="K32" i="13"/>
  <c r="L32" i="13"/>
  <c r="J33" i="13"/>
  <c r="K33" i="13"/>
  <c r="L33" i="13"/>
  <c r="J34" i="13"/>
  <c r="K34" i="13"/>
  <c r="L34" i="13"/>
  <c r="J35" i="13"/>
  <c r="K35" i="13"/>
  <c r="L35" i="13"/>
  <c r="J36" i="13"/>
  <c r="K36" i="13"/>
  <c r="L36" i="13"/>
  <c r="J37" i="13"/>
  <c r="K37" i="13"/>
  <c r="L37" i="13"/>
  <c r="J38" i="13"/>
  <c r="K38" i="13"/>
  <c r="L38" i="13"/>
  <c r="J39" i="13"/>
  <c r="K39" i="13"/>
  <c r="L39" i="13"/>
  <c r="J40" i="13"/>
  <c r="K40" i="13"/>
  <c r="L40" i="13"/>
  <c r="I33" i="13"/>
  <c r="I34" i="13"/>
  <c r="I35" i="13"/>
  <c r="I36" i="13"/>
  <c r="I37" i="13"/>
  <c r="I38" i="13"/>
  <c r="I39" i="13"/>
  <c r="I40" i="13"/>
  <c r="E31" i="13" l="1"/>
  <c r="G31" i="13"/>
  <c r="F31" i="13"/>
  <c r="E25" i="13"/>
  <c r="E10" i="13"/>
  <c r="E11" i="13"/>
  <c r="E12" i="13"/>
  <c r="E13" i="13"/>
  <c r="E14" i="13"/>
  <c r="E15" i="13"/>
  <c r="E16" i="13"/>
  <c r="E17" i="13"/>
  <c r="E18" i="13"/>
  <c r="E19" i="13"/>
  <c r="E20" i="13"/>
  <c r="E9" i="13"/>
  <c r="M32" i="18"/>
  <c r="I32" i="13"/>
  <c r="D31" i="13"/>
  <c r="D9" i="13"/>
  <c r="D25" i="13"/>
  <c r="D10" i="13"/>
  <c r="D11" i="13"/>
  <c r="D12" i="13"/>
  <c r="D13" i="13"/>
  <c r="D14" i="13"/>
  <c r="D15" i="13"/>
  <c r="D16" i="13"/>
  <c r="D17" i="13"/>
  <c r="D18" i="13"/>
  <c r="D19" i="13"/>
  <c r="D20" i="13"/>
  <c r="M32" i="13" l="1"/>
  <c r="E24" i="18" l="1"/>
  <c r="E24" i="13" l="1"/>
  <c r="M33" i="13" l="1"/>
  <c r="A93" i="1" l="1"/>
  <c r="I15" i="13"/>
  <c r="I17" i="13"/>
  <c r="I19" i="13"/>
  <c r="I13" i="13"/>
  <c r="B19" i="13"/>
  <c r="B17" i="13"/>
  <c r="B15" i="13"/>
  <c r="B13" i="13"/>
  <c r="M40" i="18" l="1"/>
  <c r="M39" i="18"/>
  <c r="M38" i="18"/>
  <c r="M37" i="18"/>
  <c r="M36" i="18"/>
  <c r="M35" i="18"/>
  <c r="M34" i="18"/>
  <c r="M33" i="18"/>
  <c r="H31" i="18"/>
  <c r="D24" i="18"/>
  <c r="G20" i="18"/>
  <c r="G20" i="13" s="1"/>
  <c r="G19" i="18"/>
  <c r="G19" i="13" s="1"/>
  <c r="G18" i="18"/>
  <c r="G18" i="13" s="1"/>
  <c r="G17" i="18"/>
  <c r="G17" i="13" s="1"/>
  <c r="G16" i="18"/>
  <c r="G16" i="13" s="1"/>
  <c r="G15" i="18"/>
  <c r="G15" i="13" s="1"/>
  <c r="G14" i="18"/>
  <c r="G14" i="13" s="1"/>
  <c r="G13" i="18"/>
  <c r="G13" i="13" s="1"/>
  <c r="I11" i="18"/>
  <c r="F11" i="18"/>
  <c r="G11" i="18" s="1"/>
  <c r="G11" i="13" s="1"/>
  <c r="G10" i="18"/>
  <c r="G10" i="13" s="1"/>
  <c r="I9" i="18"/>
  <c r="H9" i="18"/>
  <c r="G9" i="18"/>
  <c r="G9" i="13" s="1"/>
  <c r="E8" i="18"/>
  <c r="N29" i="18" s="1"/>
  <c r="D8" i="18"/>
  <c r="M29" i="18" s="1"/>
  <c r="A4" i="18"/>
  <c r="D95" i="1"/>
  <c r="G21" i="13" l="1"/>
  <c r="N34" i="18"/>
  <c r="N39" i="18"/>
  <c r="N33" i="18"/>
  <c r="N35" i="18"/>
  <c r="N38" i="18"/>
  <c r="N36" i="18"/>
  <c r="N37" i="18"/>
  <c r="N40" i="18"/>
  <c r="J31" i="18"/>
  <c r="J31" i="13"/>
  <c r="I31" i="13"/>
  <c r="N32" i="18"/>
  <c r="K31" i="18"/>
  <c r="K31" i="13" s="1"/>
  <c r="H9" i="13"/>
  <c r="L31" i="18"/>
  <c r="L31" i="13" s="1"/>
  <c r="I31" i="18"/>
  <c r="G12" i="18"/>
  <c r="G12" i="13" s="1"/>
  <c r="G22" i="13" s="1"/>
  <c r="G21" i="18"/>
  <c r="H20" i="18"/>
  <c r="H20" i="13" s="1"/>
  <c r="H12" i="18"/>
  <c r="H12" i="13" s="1"/>
  <c r="H16" i="18"/>
  <c r="H16" i="13" s="1"/>
  <c r="I29" i="18"/>
  <c r="D29" i="18"/>
  <c r="H10" i="18"/>
  <c r="H10" i="13" s="1"/>
  <c r="H17" i="18"/>
  <c r="H17" i="13" s="1"/>
  <c r="F29" i="18"/>
  <c r="H18" i="18"/>
  <c r="H18" i="13" s="1"/>
  <c r="K29" i="18"/>
  <c r="H13" i="18"/>
  <c r="H13" i="13" s="1"/>
  <c r="G8" i="18"/>
  <c r="H14" i="18"/>
  <c r="H14" i="13" s="1"/>
  <c r="H8" i="18"/>
  <c r="H11" i="18"/>
  <c r="H11" i="13" s="1"/>
  <c r="H15" i="18"/>
  <c r="H15" i="13" s="1"/>
  <c r="H19" i="18"/>
  <c r="H19" i="13" s="1"/>
  <c r="D27" i="2"/>
  <c r="C27" i="2"/>
  <c r="M31" i="13" l="1"/>
  <c r="M31" i="18"/>
  <c r="N32" i="13"/>
  <c r="G22" i="18"/>
  <c r="G23" i="18" s="1"/>
  <c r="H21" i="18"/>
  <c r="N31" i="18"/>
  <c r="H22" i="18"/>
  <c r="B151" i="6"/>
  <c r="A122" i="6"/>
  <c r="A121" i="6"/>
  <c r="A120" i="6"/>
  <c r="A119" i="6"/>
  <c r="A118" i="6"/>
  <c r="A115" i="6"/>
  <c r="A114" i="6"/>
  <c r="A113" i="6"/>
  <c r="A112" i="6"/>
  <c r="A111" i="6"/>
  <c r="A110" i="6"/>
  <c r="A109" i="6"/>
  <c r="A108" i="6"/>
  <c r="A107" i="6"/>
  <c r="A106" i="6"/>
  <c r="A105" i="6"/>
  <c r="A104" i="6"/>
  <c r="A101" i="6"/>
  <c r="A100" i="6"/>
  <c r="A99" i="6"/>
  <c r="A98" i="6"/>
  <c r="A97" i="6"/>
  <c r="A96" i="6"/>
  <c r="A93" i="6"/>
  <c r="A92" i="6"/>
  <c r="A91" i="6"/>
  <c r="A90" i="6"/>
  <c r="E5" i="6"/>
  <c r="G10" i="17" s="1"/>
  <c r="A81" i="6"/>
  <c r="A82" i="6"/>
  <c r="A83" i="6"/>
  <c r="A84" i="6"/>
  <c r="A68" i="6"/>
  <c r="A69" i="6"/>
  <c r="A70" i="6"/>
  <c r="A71" i="6"/>
  <c r="A72" i="6"/>
  <c r="A73" i="6"/>
  <c r="A74" i="6"/>
  <c r="A75" i="6"/>
  <c r="A76" i="6"/>
  <c r="A77" i="6"/>
  <c r="A60" i="6"/>
  <c r="A61" i="6"/>
  <c r="F42" i="6"/>
  <c r="F41" i="6"/>
  <c r="F40" i="6"/>
  <c r="F19" i="6"/>
  <c r="F20" i="6"/>
  <c r="F27" i="6"/>
  <c r="F28" i="6"/>
  <c r="F29" i="6"/>
  <c r="F30" i="6"/>
  <c r="F31" i="6"/>
  <c r="F32" i="6"/>
  <c r="F33" i="6"/>
  <c r="F34" i="6"/>
  <c r="F35" i="6"/>
  <c r="F36" i="6"/>
  <c r="N31" i="13" l="1"/>
  <c r="H23" i="18"/>
  <c r="I5" i="15"/>
  <c r="H15" i="15" s="1"/>
  <c r="H24" i="15"/>
  <c r="J7" i="17" s="1"/>
  <c r="J9" i="17"/>
  <c r="G2" i="17"/>
  <c r="D11" i="17"/>
  <c r="A4" i="11"/>
  <c r="A4" i="2"/>
  <c r="H23" i="11"/>
  <c r="H25" i="11" s="1"/>
  <c r="A108" i="1"/>
  <c r="A107" i="1"/>
  <c r="C95" i="1"/>
  <c r="E48" i="1"/>
  <c r="E8" i="13"/>
  <c r="K29" i="13" s="1"/>
  <c r="I9" i="13"/>
  <c r="H18" i="11"/>
  <c r="H20" i="11" s="1"/>
  <c r="H22" i="11" s="1"/>
  <c r="C37" i="5"/>
  <c r="C40" i="5" s="1"/>
  <c r="D24" i="13"/>
  <c r="I11" i="13"/>
  <c r="P100" i="11"/>
  <c r="P99" i="11"/>
  <c r="P98" i="11"/>
  <c r="P97" i="11"/>
  <c r="P96" i="11"/>
  <c r="P95" i="11"/>
  <c r="P94" i="11"/>
  <c r="P93" i="11"/>
  <c r="P92" i="11"/>
  <c r="P91" i="11"/>
  <c r="K100" i="11"/>
  <c r="K99" i="11"/>
  <c r="K98" i="11"/>
  <c r="K97" i="11"/>
  <c r="K96" i="11"/>
  <c r="K95" i="11"/>
  <c r="K94" i="11"/>
  <c r="K93" i="11"/>
  <c r="K92" i="11"/>
  <c r="K91" i="11"/>
  <c r="F100" i="11"/>
  <c r="F99" i="11"/>
  <c r="F98" i="11"/>
  <c r="F97" i="11"/>
  <c r="F96" i="11"/>
  <c r="F95" i="11"/>
  <c r="F94" i="11"/>
  <c r="F93" i="11"/>
  <c r="F92" i="11"/>
  <c r="F91" i="11"/>
  <c r="P84" i="11"/>
  <c r="P83" i="11"/>
  <c r="P82" i="11"/>
  <c r="P81" i="11"/>
  <c r="P80" i="11"/>
  <c r="P79" i="11"/>
  <c r="P78" i="11"/>
  <c r="P77" i="11"/>
  <c r="P76" i="11"/>
  <c r="P75" i="11"/>
  <c r="K84" i="11"/>
  <c r="K83" i="11"/>
  <c r="K82" i="11"/>
  <c r="K81" i="11"/>
  <c r="K80" i="11"/>
  <c r="K79" i="11"/>
  <c r="K78" i="11"/>
  <c r="K77" i="11"/>
  <c r="K76" i="11"/>
  <c r="K75" i="11"/>
  <c r="F84" i="11"/>
  <c r="F83" i="11"/>
  <c r="F82" i="11"/>
  <c r="F81" i="11"/>
  <c r="F80" i="11"/>
  <c r="F79" i="11"/>
  <c r="F78" i="11"/>
  <c r="F77" i="11"/>
  <c r="F76" i="11"/>
  <c r="F75" i="11"/>
  <c r="P66" i="11"/>
  <c r="P65" i="11"/>
  <c r="P64" i="11"/>
  <c r="P63" i="11"/>
  <c r="P62" i="11"/>
  <c r="P61" i="11"/>
  <c r="P60" i="11"/>
  <c r="P59" i="11"/>
  <c r="P58" i="11"/>
  <c r="P57" i="11"/>
  <c r="K66" i="11"/>
  <c r="K65" i="11"/>
  <c r="K64" i="11"/>
  <c r="K63" i="11"/>
  <c r="K62" i="11"/>
  <c r="K61" i="11"/>
  <c r="K60" i="11"/>
  <c r="K59" i="11"/>
  <c r="K58" i="11"/>
  <c r="K57" i="11"/>
  <c r="F66" i="11"/>
  <c r="F65" i="11"/>
  <c r="F64" i="11"/>
  <c r="F63" i="11"/>
  <c r="F62" i="11"/>
  <c r="F61" i="11"/>
  <c r="F60" i="11"/>
  <c r="F59" i="11"/>
  <c r="F58" i="11"/>
  <c r="F57" i="11"/>
  <c r="A9" i="11"/>
  <c r="A10" i="11"/>
  <c r="A11" i="11" s="1"/>
  <c r="A29" i="11" s="1"/>
  <c r="A30" i="11" s="1"/>
  <c r="A31" i="11" s="1"/>
  <c r="A32" i="11" s="1"/>
  <c r="A41" i="11" s="1"/>
  <c r="A42" i="11" s="1"/>
  <c r="A43" i="11" s="1"/>
  <c r="A44" i="11" s="1"/>
  <c r="A45" i="11" s="1"/>
  <c r="A46" i="11" s="1"/>
  <c r="A47" i="11" s="1"/>
  <c r="A48" i="11" s="1"/>
  <c r="A49" i="11" s="1"/>
  <c r="A50" i="11" s="1"/>
  <c r="A51" i="11" s="1"/>
  <c r="A57" i="11" s="1"/>
  <c r="A58" i="11" s="1"/>
  <c r="A59" i="11" s="1"/>
  <c r="A60" i="11" s="1"/>
  <c r="A61" i="11" s="1"/>
  <c r="A62" i="11" s="1"/>
  <c r="A63" i="11" s="1"/>
  <c r="A64" i="11" s="1"/>
  <c r="A65" i="11" s="1"/>
  <c r="A66" i="11" s="1"/>
  <c r="A67" i="11" s="1"/>
  <c r="A75" i="11" s="1"/>
  <c r="A76" i="11" s="1"/>
  <c r="A77" i="11" s="1"/>
  <c r="A78" i="11" s="1"/>
  <c r="A79" i="11" s="1"/>
  <c r="A80" i="11" s="1"/>
  <c r="A81" i="11" s="1"/>
  <c r="A82" i="11" s="1"/>
  <c r="A83" i="11" s="1"/>
  <c r="A84" i="11" s="1"/>
  <c r="A85" i="11" s="1"/>
  <c r="A91" i="11" s="1"/>
  <c r="A92" i="11" s="1"/>
  <c r="A93" i="11" s="1"/>
  <c r="A94" i="11" s="1"/>
  <c r="A95" i="11" s="1"/>
  <c r="A96" i="11" s="1"/>
  <c r="A97" i="11" s="1"/>
  <c r="A98" i="11" s="1"/>
  <c r="A99" i="11" s="1"/>
  <c r="A100" i="11" s="1"/>
  <c r="A101" i="11" s="1"/>
  <c r="A108" i="11" s="1"/>
  <c r="A109" i="11" s="1"/>
  <c r="A110" i="11" s="1"/>
  <c r="A111" i="11" s="1"/>
  <c r="A112" i="11" s="1"/>
  <c r="A113" i="11" s="1"/>
  <c r="A114" i="11" s="1"/>
  <c r="A115" i="11" s="1"/>
  <c r="A116" i="11" s="1"/>
  <c r="A117" i="11" s="1"/>
  <c r="A118" i="11" s="1"/>
  <c r="A124" i="11" s="1"/>
  <c r="A125" i="11" s="1"/>
  <c r="A126" i="11" s="1"/>
  <c r="A127" i="11" s="1"/>
  <c r="A128" i="11" s="1"/>
  <c r="A129" i="11" s="1"/>
  <c r="A130" i="11" s="1"/>
  <c r="A131" i="11" s="1"/>
  <c r="A132" i="11" s="1"/>
  <c r="A133" i="11" s="1"/>
  <c r="A134" i="11" s="1"/>
  <c r="A141" i="11" s="1"/>
  <c r="A142" i="11" s="1"/>
  <c r="A143" i="11" s="1"/>
  <c r="A144" i="11" s="1"/>
  <c r="A145" i="11" s="1"/>
  <c r="A146" i="11" s="1"/>
  <c r="A147" i="11" s="1"/>
  <c r="A148" i="11" s="1"/>
  <c r="A149" i="11" s="1"/>
  <c r="A150" i="11" s="1"/>
  <c r="A151" i="11" s="1"/>
  <c r="A156" i="11" s="1"/>
  <c r="A157" i="11" s="1"/>
  <c r="A158" i="11" s="1"/>
  <c r="A159" i="11" s="1"/>
  <c r="A160" i="11" s="1"/>
  <c r="A161" i="11" s="1"/>
  <c r="A162" i="11" s="1"/>
  <c r="A163" i="11" s="1"/>
  <c r="A164" i="11" s="1"/>
  <c r="A165" i="11" s="1"/>
  <c r="A166" i="11" s="1"/>
  <c r="C258" i="5"/>
  <c r="C249" i="5"/>
  <c r="C240" i="5"/>
  <c r="C231" i="5"/>
  <c r="C222" i="5"/>
  <c r="C213" i="5"/>
  <c r="C201" i="5"/>
  <c r="C192" i="5"/>
  <c r="C183" i="5"/>
  <c r="C174" i="5"/>
  <c r="C165" i="5"/>
  <c r="C156" i="5"/>
  <c r="C147" i="5"/>
  <c r="C135" i="5"/>
  <c r="C126" i="5"/>
  <c r="C117" i="5"/>
  <c r="C108" i="5"/>
  <c r="C99" i="5"/>
  <c r="C90" i="5"/>
  <c r="C83" i="5"/>
  <c r="C82" i="5"/>
  <c r="C81" i="5"/>
  <c r="G8" i="5"/>
  <c r="G256" i="5" s="1"/>
  <c r="P50" i="11"/>
  <c r="P49" i="11"/>
  <c r="P48" i="11"/>
  <c r="P47" i="11"/>
  <c r="P46" i="11"/>
  <c r="P45" i="11"/>
  <c r="P44" i="11"/>
  <c r="P43" i="11"/>
  <c r="P42" i="11"/>
  <c r="P41" i="11"/>
  <c r="K50" i="11"/>
  <c r="K49" i="11"/>
  <c r="K48" i="11"/>
  <c r="K47" i="11"/>
  <c r="K46" i="11"/>
  <c r="K45" i="11"/>
  <c r="K44" i="11"/>
  <c r="K43" i="11"/>
  <c r="K42" i="11"/>
  <c r="K41" i="11"/>
  <c r="F50" i="11"/>
  <c r="F49" i="11"/>
  <c r="F48" i="11"/>
  <c r="F47" i="11"/>
  <c r="F46" i="11"/>
  <c r="F45" i="11"/>
  <c r="F44" i="11"/>
  <c r="F43" i="11"/>
  <c r="F42" i="11"/>
  <c r="F41" i="11"/>
  <c r="C28" i="5"/>
  <c r="C27" i="5"/>
  <c r="C45" i="5" s="1"/>
  <c r="C46" i="5" s="1"/>
  <c r="D8" i="13"/>
  <c r="D29" i="13" s="1"/>
  <c r="M40" i="13"/>
  <c r="C100" i="11" s="1"/>
  <c r="E100" i="11" s="1"/>
  <c r="G100" i="11" s="1"/>
  <c r="M34" i="13"/>
  <c r="C60" i="11" s="1"/>
  <c r="E60" i="11" s="1"/>
  <c r="M35" i="13"/>
  <c r="C145" i="11" s="1"/>
  <c r="E145" i="11" s="1"/>
  <c r="G145" i="11" s="1"/>
  <c r="M36" i="13"/>
  <c r="C80" i="11" s="1"/>
  <c r="E80" i="11" s="1"/>
  <c r="M37" i="13"/>
  <c r="C47" i="11" s="1"/>
  <c r="E47" i="11" s="1"/>
  <c r="M38" i="13"/>
  <c r="M39" i="13"/>
  <c r="C164" i="11" s="1"/>
  <c r="E164" i="11" s="1"/>
  <c r="G164" i="11" s="1"/>
  <c r="C59" i="11"/>
  <c r="E59" i="11" s="1"/>
  <c r="G59" i="11" s="1"/>
  <c r="C42" i="11"/>
  <c r="C19" i="2"/>
  <c r="B117" i="1"/>
  <c r="B116" i="1"/>
  <c r="B115" i="1"/>
  <c r="B114" i="1"/>
  <c r="C32" i="5"/>
  <c r="B2" i="6"/>
  <c r="C13" i="5"/>
  <c r="C101" i="5"/>
  <c r="C92" i="5"/>
  <c r="C260" i="5"/>
  <c r="C259" i="5"/>
  <c r="C251" i="5"/>
  <c r="C250" i="5"/>
  <c r="C242" i="5"/>
  <c r="C241" i="5"/>
  <c r="C233" i="5"/>
  <c r="C232" i="5"/>
  <c r="C224" i="5"/>
  <c r="C223" i="5"/>
  <c r="C215" i="5"/>
  <c r="C214" i="5"/>
  <c r="C203" i="5"/>
  <c r="C202" i="5"/>
  <c r="C194" i="5"/>
  <c r="C193" i="5"/>
  <c r="C185" i="5"/>
  <c r="C184" i="5"/>
  <c r="C176" i="5"/>
  <c r="C175" i="5"/>
  <c r="C167" i="5"/>
  <c r="C166" i="5"/>
  <c r="C158" i="5"/>
  <c r="C157" i="5"/>
  <c r="C149" i="5"/>
  <c r="C148" i="5"/>
  <c r="C110" i="5"/>
  <c r="C119" i="5"/>
  <c r="C128" i="5"/>
  <c r="C137" i="5"/>
  <c r="C136" i="5"/>
  <c r="C127" i="5"/>
  <c r="C91" i="5"/>
  <c r="C100" i="5"/>
  <c r="C109" i="5"/>
  <c r="C118" i="5"/>
  <c r="C15" i="5"/>
  <c r="C24" i="5"/>
  <c r="C23" i="5"/>
  <c r="C21" i="5"/>
  <c r="C20" i="5"/>
  <c r="D45" i="6"/>
  <c r="D46" i="6" s="1"/>
  <c r="F45" i="6"/>
  <c r="F43" i="6"/>
  <c r="F39" i="6"/>
  <c r="F26" i="6"/>
  <c r="F25" i="6"/>
  <c r="F22" i="6"/>
  <c r="F21" i="6"/>
  <c r="F18" i="6"/>
  <c r="F17" i="6"/>
  <c r="F14" i="6"/>
  <c r="F13" i="6"/>
  <c r="F12" i="6"/>
  <c r="F11" i="6"/>
  <c r="C35" i="5"/>
  <c r="C34" i="5"/>
  <c r="B2" i="5"/>
  <c r="C98" i="1"/>
  <c r="C97" i="1"/>
  <c r="A80" i="6"/>
  <c r="A67" i="6"/>
  <c r="A66" i="6"/>
  <c r="A63" i="6"/>
  <c r="A62" i="6"/>
  <c r="A59" i="6"/>
  <c r="A58" i="6"/>
  <c r="A55" i="6"/>
  <c r="A54" i="6"/>
  <c r="A53" i="6"/>
  <c r="A52" i="6"/>
  <c r="G60" i="11" l="1"/>
  <c r="C141" i="11"/>
  <c r="E141" i="11" s="1"/>
  <c r="G141" i="11" s="1"/>
  <c r="C62" i="11"/>
  <c r="E62" i="11" s="1"/>
  <c r="G62" i="11" s="1"/>
  <c r="C146" i="11"/>
  <c r="E146" i="11" s="1"/>
  <c r="G146" i="11" s="1"/>
  <c r="C113" i="11"/>
  <c r="E113" i="11" s="1"/>
  <c r="G113" i="11" s="1"/>
  <c r="C50" i="11"/>
  <c r="E50" i="11" s="1"/>
  <c r="G50" i="11" s="1"/>
  <c r="C96" i="11"/>
  <c r="E96" i="11" s="1"/>
  <c r="G96" i="11" s="1"/>
  <c r="C84" i="11"/>
  <c r="E84" i="11" s="1"/>
  <c r="G84" i="11" s="1"/>
  <c r="G47" i="11"/>
  <c r="C46" i="11"/>
  <c r="E46" i="11" s="1"/>
  <c r="G46" i="11" s="1"/>
  <c r="C161" i="11"/>
  <c r="E161" i="11" s="1"/>
  <c r="G161" i="11" s="1"/>
  <c r="C117" i="11"/>
  <c r="E117" i="11" s="1"/>
  <c r="G117" i="11" s="1"/>
  <c r="G80" i="11"/>
  <c r="C38" i="5"/>
  <c r="C39" i="5"/>
  <c r="D2" i="13"/>
  <c r="D2" i="18"/>
  <c r="C79" i="11"/>
  <c r="E79" i="11" s="1"/>
  <c r="G79" i="11" s="1"/>
  <c r="C132" i="11"/>
  <c r="E132" i="11" s="1"/>
  <c r="G132" i="11" s="1"/>
  <c r="C165" i="11"/>
  <c r="E165" i="11" s="1"/>
  <c r="G165" i="11" s="1"/>
  <c r="C114" i="11"/>
  <c r="E114" i="11" s="1"/>
  <c r="G114" i="11" s="1"/>
  <c r="C150" i="11"/>
  <c r="E150" i="11" s="1"/>
  <c r="G150" i="11" s="1"/>
  <c r="C63" i="11"/>
  <c r="E63" i="11" s="1"/>
  <c r="G63" i="11" s="1"/>
  <c r="C99" i="11"/>
  <c r="E99" i="11" s="1"/>
  <c r="G99" i="11" s="1"/>
  <c r="N40" i="13"/>
  <c r="M66" i="11" s="1"/>
  <c r="O66" i="11" s="1"/>
  <c r="Q66" i="11" s="1"/>
  <c r="C57" i="11"/>
  <c r="E57" i="11" s="1"/>
  <c r="G57" i="11" s="1"/>
  <c r="N38" i="13"/>
  <c r="M163" i="11" s="1"/>
  <c r="O163" i="11" s="1"/>
  <c r="Q163" i="11" s="1"/>
  <c r="N39" i="13"/>
  <c r="N37" i="13"/>
  <c r="H47" i="11" s="1"/>
  <c r="J47" i="11" s="1"/>
  <c r="L47" i="11" s="1"/>
  <c r="N36" i="13"/>
  <c r="H146" i="11" s="1"/>
  <c r="J146" i="11" s="1"/>
  <c r="L146" i="11" s="1"/>
  <c r="K15" i="15"/>
  <c r="P15" i="15"/>
  <c r="G8" i="13"/>
  <c r="C93" i="11"/>
  <c r="E93" i="11" s="1"/>
  <c r="G93" i="11" s="1"/>
  <c r="C126" i="11"/>
  <c r="E126" i="11" s="1"/>
  <c r="G126" i="11" s="1"/>
  <c r="C8" i="2"/>
  <c r="C26" i="2" s="1"/>
  <c r="C45" i="11"/>
  <c r="E45" i="11" s="1"/>
  <c r="G45" i="11" s="1"/>
  <c r="C112" i="11"/>
  <c r="E112" i="11" s="1"/>
  <c r="G112" i="11" s="1"/>
  <c r="C49" i="11"/>
  <c r="E49" i="11" s="1"/>
  <c r="G49" i="11" s="1"/>
  <c r="C149" i="11"/>
  <c r="E149" i="11" s="1"/>
  <c r="G149" i="11" s="1"/>
  <c r="H28" i="11"/>
  <c r="C77" i="11"/>
  <c r="E77" i="11" s="1"/>
  <c r="G77" i="11" s="1"/>
  <c r="C143" i="11"/>
  <c r="E143" i="11" s="1"/>
  <c r="G143" i="11" s="1"/>
  <c r="C43" i="11"/>
  <c r="E43" i="11" s="1"/>
  <c r="G43" i="11" s="1"/>
  <c r="C110" i="11"/>
  <c r="E110" i="11" s="1"/>
  <c r="G110" i="11" s="1"/>
  <c r="C95" i="11"/>
  <c r="E95" i="11" s="1"/>
  <c r="G95" i="11" s="1"/>
  <c r="C160" i="11"/>
  <c r="E160" i="11" s="1"/>
  <c r="G160" i="11" s="1"/>
  <c r="C116" i="11"/>
  <c r="E116" i="11" s="1"/>
  <c r="G116" i="11" s="1"/>
  <c r="I29" i="13"/>
  <c r="C158" i="11"/>
  <c r="E158" i="11" s="1"/>
  <c r="G158" i="11" s="1"/>
  <c r="C147" i="11"/>
  <c r="E147" i="11" s="1"/>
  <c r="G147" i="11" s="1"/>
  <c r="M29" i="13"/>
  <c r="C144" i="11"/>
  <c r="E144" i="11" s="1"/>
  <c r="G144" i="11" s="1"/>
  <c r="C78" i="11"/>
  <c r="E78" i="11" s="1"/>
  <c r="G78" i="11" s="1"/>
  <c r="C111" i="11"/>
  <c r="E111" i="11" s="1"/>
  <c r="G111" i="11" s="1"/>
  <c r="C159" i="11"/>
  <c r="E159" i="11" s="1"/>
  <c r="G159" i="11" s="1"/>
  <c r="C44" i="11"/>
  <c r="E44" i="11" s="1"/>
  <c r="G44" i="11" s="1"/>
  <c r="C98" i="11"/>
  <c r="E98" i="11" s="1"/>
  <c r="G98" i="11" s="1"/>
  <c r="C82" i="11"/>
  <c r="E82" i="11" s="1"/>
  <c r="G82" i="11" s="1"/>
  <c r="C148" i="11"/>
  <c r="E148" i="11" s="1"/>
  <c r="G148" i="11" s="1"/>
  <c r="C64" i="11"/>
  <c r="E64" i="11" s="1"/>
  <c r="G64" i="11" s="1"/>
  <c r="C163" i="11"/>
  <c r="E163" i="11" s="1"/>
  <c r="G163" i="11" s="1"/>
  <c r="C48" i="11"/>
  <c r="E48" i="11" s="1"/>
  <c r="G48" i="11" s="1"/>
  <c r="C115" i="11"/>
  <c r="E115" i="11" s="1"/>
  <c r="G115" i="11" s="1"/>
  <c r="C131" i="11"/>
  <c r="E131" i="11" s="1"/>
  <c r="G131" i="11" s="1"/>
  <c r="C75" i="11"/>
  <c r="E75" i="11" s="1"/>
  <c r="G75" i="11" s="1"/>
  <c r="C41" i="11"/>
  <c r="E41" i="11" s="1"/>
  <c r="G41" i="11" s="1"/>
  <c r="C108" i="11"/>
  <c r="E108" i="11" s="1"/>
  <c r="G108" i="11" s="1"/>
  <c r="C91" i="11"/>
  <c r="E91" i="11" s="1"/>
  <c r="G91" i="11" s="1"/>
  <c r="C156" i="11"/>
  <c r="E156" i="11" s="1"/>
  <c r="G156" i="11" s="1"/>
  <c r="C44" i="5"/>
  <c r="C41" i="5"/>
  <c r="C94" i="11"/>
  <c r="E94" i="11" s="1"/>
  <c r="G94" i="11" s="1"/>
  <c r="C124" i="11"/>
  <c r="E124" i="11" s="1"/>
  <c r="G124" i="11" s="1"/>
  <c r="C66" i="11"/>
  <c r="E66" i="11" s="1"/>
  <c r="G66" i="11" s="1"/>
  <c r="C97" i="11"/>
  <c r="E97" i="11" s="1"/>
  <c r="G97" i="11" s="1"/>
  <c r="C162" i="11"/>
  <c r="E162" i="11" s="1"/>
  <c r="G162" i="11" s="1"/>
  <c r="D12" i="17"/>
  <c r="J8" i="17"/>
  <c r="I10" i="17" s="1"/>
  <c r="J10" i="17" s="1"/>
  <c r="C61" i="11"/>
  <c r="E61" i="11" s="1"/>
  <c r="G61" i="11" s="1"/>
  <c r="C81" i="11"/>
  <c r="E81" i="11" s="1"/>
  <c r="G81" i="11" s="1"/>
  <c r="C65" i="11"/>
  <c r="E65" i="11" s="1"/>
  <c r="G65" i="11" s="1"/>
  <c r="C83" i="11"/>
  <c r="E83" i="11" s="1"/>
  <c r="G83" i="11" s="1"/>
  <c r="C109" i="11"/>
  <c r="E109" i="11" s="1"/>
  <c r="G109" i="11" s="1"/>
  <c r="C5" i="5"/>
  <c r="H157" i="11"/>
  <c r="N33" i="13"/>
  <c r="G78" i="5"/>
  <c r="G12" i="5"/>
  <c r="G114" i="5"/>
  <c r="E239" i="5"/>
  <c r="E242" i="5" s="1"/>
  <c r="E20" i="5"/>
  <c r="N34" i="13"/>
  <c r="H111" i="11" s="1"/>
  <c r="J111" i="11" s="1"/>
  <c r="L111" i="11" s="1"/>
  <c r="N35" i="13"/>
  <c r="G87" i="5"/>
  <c r="G154" i="5"/>
  <c r="E173" i="5"/>
  <c r="E175" i="5" s="1"/>
  <c r="E191" i="5"/>
  <c r="E193" i="5" s="1"/>
  <c r="E125" i="5"/>
  <c r="E128" i="5" s="1"/>
  <c r="G219" i="5"/>
  <c r="E98" i="5"/>
  <c r="E100" i="5" s="1"/>
  <c r="G115" i="5"/>
  <c r="E146" i="5"/>
  <c r="E149" i="5" s="1"/>
  <c r="E164" i="5"/>
  <c r="E166" i="5" s="1"/>
  <c r="G210" i="5"/>
  <c r="G35" i="5"/>
  <c r="E13" i="5"/>
  <c r="E80" i="5"/>
  <c r="E82" i="5" s="1"/>
  <c r="E22" i="5"/>
  <c r="G79" i="5"/>
  <c r="G88" i="5"/>
  <c r="G132" i="5"/>
  <c r="G163" i="5"/>
  <c r="G181" i="5"/>
  <c r="G198" i="5"/>
  <c r="E221" i="5"/>
  <c r="E224" i="5" s="1"/>
  <c r="G247" i="5"/>
  <c r="E89" i="5"/>
  <c r="E92" i="5" s="1"/>
  <c r="G105" i="5"/>
  <c r="G124" i="5"/>
  <c r="G153" i="5"/>
  <c r="G180" i="5"/>
  <c r="G228" i="5"/>
  <c r="G18" i="5"/>
  <c r="E35" i="5"/>
  <c r="E14" i="5"/>
  <c r="E15" i="5" s="1"/>
  <c r="G97" i="5"/>
  <c r="E116" i="5"/>
  <c r="E118" i="5" s="1"/>
  <c r="E134" i="5"/>
  <c r="G171" i="5"/>
  <c r="G189" i="5"/>
  <c r="E200" i="5"/>
  <c r="E203" i="5" s="1"/>
  <c r="G229" i="5"/>
  <c r="G255" i="5"/>
  <c r="G96" i="5"/>
  <c r="G133" i="5"/>
  <c r="G162" i="5"/>
  <c r="G246" i="5"/>
  <c r="G34" i="5"/>
  <c r="E34" i="5"/>
  <c r="G9" i="5"/>
  <c r="E21" i="5"/>
  <c r="G19" i="5"/>
  <c r="G106" i="5"/>
  <c r="G123" i="5"/>
  <c r="G145" i="5"/>
  <c r="G211" i="5"/>
  <c r="G237" i="5"/>
  <c r="E257" i="5"/>
  <c r="E260" i="5" s="1"/>
  <c r="E107" i="5"/>
  <c r="E109" i="5" s="1"/>
  <c r="G144" i="5"/>
  <c r="E182" i="5"/>
  <c r="E184" i="5" s="1"/>
  <c r="E37" i="5"/>
  <c r="E40" i="5" s="1"/>
  <c r="E155" i="5"/>
  <c r="G172" i="5"/>
  <c r="G190" i="5"/>
  <c r="E212" i="5"/>
  <c r="E230" i="5"/>
  <c r="E248" i="5"/>
  <c r="D8" i="2"/>
  <c r="G199" i="5"/>
  <c r="G220" i="5"/>
  <c r="G238" i="5"/>
  <c r="H8" i="13"/>
  <c r="F29" i="13"/>
  <c r="E5" i="5"/>
  <c r="J28" i="11"/>
  <c r="N29" i="13"/>
  <c r="E42" i="11"/>
  <c r="G42" i="11" s="1"/>
  <c r="C142" i="11"/>
  <c r="C76" i="11"/>
  <c r="C125" i="11"/>
  <c r="C58" i="11"/>
  <c r="C157" i="11"/>
  <c r="C92" i="11"/>
  <c r="F2" i="11"/>
  <c r="C2" i="2"/>
  <c r="G118" i="11" l="1"/>
  <c r="G51" i="11"/>
  <c r="K20" i="15"/>
  <c r="H165" i="11"/>
  <c r="J165" i="11" s="1"/>
  <c r="L165" i="11" s="1"/>
  <c r="H150" i="11"/>
  <c r="J150" i="11" s="1"/>
  <c r="L150" i="11" s="1"/>
  <c r="H66" i="11"/>
  <c r="J66" i="11" s="1"/>
  <c r="L66" i="11" s="1"/>
  <c r="H50" i="11"/>
  <c r="J50" i="11" s="1"/>
  <c r="L50" i="11" s="1"/>
  <c r="H100" i="11"/>
  <c r="J100" i="11" s="1"/>
  <c r="L100" i="11" s="1"/>
  <c r="H84" i="11"/>
  <c r="J84" i="11" s="1"/>
  <c r="L84" i="11" s="1"/>
  <c r="C9" i="2"/>
  <c r="M84" i="11"/>
  <c r="O84" i="11" s="1"/>
  <c r="Q84" i="11" s="1"/>
  <c r="M50" i="11"/>
  <c r="O50" i="11" s="1"/>
  <c r="Q50" i="11" s="1"/>
  <c r="M100" i="11"/>
  <c r="O100" i="11" s="1"/>
  <c r="Q100" i="11" s="1"/>
  <c r="M165" i="11"/>
  <c r="O165" i="11" s="1"/>
  <c r="Q165" i="11" s="1"/>
  <c r="M117" i="11"/>
  <c r="O117" i="11" s="1"/>
  <c r="Q117" i="11" s="1"/>
  <c r="H117" i="11"/>
  <c r="J117" i="11" s="1"/>
  <c r="L117" i="11" s="1"/>
  <c r="M150" i="11"/>
  <c r="O150" i="11" s="1"/>
  <c r="Q150" i="11" s="1"/>
  <c r="H80" i="11"/>
  <c r="J80" i="11" s="1"/>
  <c r="L80" i="11" s="1"/>
  <c r="C15" i="2"/>
  <c r="E118" i="11"/>
  <c r="M115" i="11"/>
  <c r="O115" i="11" s="1"/>
  <c r="Q115" i="11" s="1"/>
  <c r="M148" i="11"/>
  <c r="O148" i="11" s="1"/>
  <c r="Q148" i="11" s="1"/>
  <c r="M82" i="11"/>
  <c r="O82" i="11" s="1"/>
  <c r="Q82" i="11" s="1"/>
  <c r="H82" i="11"/>
  <c r="J82" i="11" s="1"/>
  <c r="L82" i="11" s="1"/>
  <c r="M48" i="11"/>
  <c r="O48" i="11" s="1"/>
  <c r="Q48" i="11" s="1"/>
  <c r="M98" i="11"/>
  <c r="O98" i="11" s="1"/>
  <c r="Q98" i="11" s="1"/>
  <c r="M64" i="11"/>
  <c r="O64" i="11" s="1"/>
  <c r="Q64" i="11" s="1"/>
  <c r="M131" i="11"/>
  <c r="O131" i="11" s="1"/>
  <c r="Q131" i="11" s="1"/>
  <c r="H163" i="11"/>
  <c r="J163" i="11" s="1"/>
  <c r="L163" i="11" s="1"/>
  <c r="H64" i="11"/>
  <c r="J64" i="11" s="1"/>
  <c r="L64" i="11" s="1"/>
  <c r="H97" i="11"/>
  <c r="J97" i="11" s="1"/>
  <c r="L97" i="11" s="1"/>
  <c r="H115" i="11"/>
  <c r="J115" i="11" s="1"/>
  <c r="L115" i="11" s="1"/>
  <c r="H131" i="11"/>
  <c r="J131" i="11" s="1"/>
  <c r="L131" i="11" s="1"/>
  <c r="H81" i="11"/>
  <c r="J81" i="11" s="1"/>
  <c r="L81" i="11" s="1"/>
  <c r="H98" i="11"/>
  <c r="J98" i="11" s="1"/>
  <c r="L98" i="11" s="1"/>
  <c r="H63" i="11"/>
  <c r="J63" i="11" s="1"/>
  <c r="L63" i="11" s="1"/>
  <c r="H148" i="11"/>
  <c r="J148" i="11" s="1"/>
  <c r="L148" i="11" s="1"/>
  <c r="H48" i="11"/>
  <c r="J48" i="11" s="1"/>
  <c r="L48" i="11" s="1"/>
  <c r="H21" i="13"/>
  <c r="E241" i="5"/>
  <c r="M164" i="11"/>
  <c r="O164" i="11" s="1"/>
  <c r="Q164" i="11" s="1"/>
  <c r="M65" i="11"/>
  <c r="O65" i="11" s="1"/>
  <c r="Q65" i="11" s="1"/>
  <c r="M149" i="11"/>
  <c r="O149" i="11" s="1"/>
  <c r="Q149" i="11" s="1"/>
  <c r="M132" i="11"/>
  <c r="O132" i="11" s="1"/>
  <c r="Q132" i="11" s="1"/>
  <c r="M116" i="11"/>
  <c r="O116" i="11" s="1"/>
  <c r="Q116" i="11" s="1"/>
  <c r="M49" i="11"/>
  <c r="O49" i="11" s="1"/>
  <c r="Q49" i="11" s="1"/>
  <c r="M99" i="11"/>
  <c r="O99" i="11" s="1"/>
  <c r="Q99" i="11" s="1"/>
  <c r="M83" i="11"/>
  <c r="O83" i="11" s="1"/>
  <c r="Q83" i="11" s="1"/>
  <c r="H142" i="11"/>
  <c r="J142" i="11" s="1"/>
  <c r="L142" i="11" s="1"/>
  <c r="M157" i="11"/>
  <c r="O157" i="11" s="1"/>
  <c r="Q157" i="11" s="1"/>
  <c r="M109" i="11"/>
  <c r="O109" i="11" s="1"/>
  <c r="Q109" i="11" s="1"/>
  <c r="M42" i="11"/>
  <c r="O42" i="11" s="1"/>
  <c r="Q42" i="11" s="1"/>
  <c r="M142" i="11"/>
  <c r="O142" i="11" s="1"/>
  <c r="Q142" i="11" s="1"/>
  <c r="M92" i="11"/>
  <c r="O92" i="11" s="1"/>
  <c r="Q92" i="11" s="1"/>
  <c r="M58" i="11"/>
  <c r="O58" i="11" s="1"/>
  <c r="Q58" i="11" s="1"/>
  <c r="M125" i="11"/>
  <c r="O125" i="11" s="1"/>
  <c r="Q125" i="11" s="1"/>
  <c r="M76" i="11"/>
  <c r="O76" i="11" s="1"/>
  <c r="Q76" i="11" s="1"/>
  <c r="H44" i="11"/>
  <c r="J44" i="11" s="1"/>
  <c r="L44" i="11" s="1"/>
  <c r="M78" i="11"/>
  <c r="O78" i="11" s="1"/>
  <c r="Q78" i="11" s="1"/>
  <c r="M144" i="11"/>
  <c r="O144" i="11" s="1"/>
  <c r="Q144" i="11" s="1"/>
  <c r="M60" i="11"/>
  <c r="O60" i="11" s="1"/>
  <c r="Q60" i="11" s="1"/>
  <c r="M111" i="11"/>
  <c r="O111" i="11" s="1"/>
  <c r="Q111" i="11" s="1"/>
  <c r="M44" i="11"/>
  <c r="O44" i="11" s="1"/>
  <c r="Q44" i="11" s="1"/>
  <c r="M159" i="11"/>
  <c r="O159" i="11" s="1"/>
  <c r="Q159" i="11" s="1"/>
  <c r="M94" i="11"/>
  <c r="O94" i="11" s="1"/>
  <c r="Q94" i="11" s="1"/>
  <c r="M62" i="11"/>
  <c r="O62" i="11" s="1"/>
  <c r="Q62" i="11" s="1"/>
  <c r="M161" i="11"/>
  <c r="O161" i="11" s="1"/>
  <c r="Q161" i="11" s="1"/>
  <c r="M113" i="11"/>
  <c r="O113" i="11" s="1"/>
  <c r="Q113" i="11" s="1"/>
  <c r="M96" i="11"/>
  <c r="O96" i="11" s="1"/>
  <c r="Q96" i="11" s="1"/>
  <c r="M46" i="11"/>
  <c r="O46" i="11" s="1"/>
  <c r="Q46" i="11" s="1"/>
  <c r="M146" i="11"/>
  <c r="O146" i="11" s="1"/>
  <c r="Q146" i="11" s="1"/>
  <c r="M80" i="11"/>
  <c r="O80" i="11" s="1"/>
  <c r="Q80" i="11" s="1"/>
  <c r="H95" i="11"/>
  <c r="J95" i="11" s="1"/>
  <c r="L95" i="11" s="1"/>
  <c r="M145" i="11"/>
  <c r="O145" i="11" s="1"/>
  <c r="Q145" i="11" s="1"/>
  <c r="M61" i="11"/>
  <c r="O61" i="11" s="1"/>
  <c r="Q61" i="11" s="1"/>
  <c r="M95" i="11"/>
  <c r="O95" i="11" s="1"/>
  <c r="Q95" i="11" s="1"/>
  <c r="M160" i="11"/>
  <c r="O160" i="11" s="1"/>
  <c r="Q160" i="11" s="1"/>
  <c r="M79" i="11"/>
  <c r="O79" i="11" s="1"/>
  <c r="Q79" i="11" s="1"/>
  <c r="M112" i="11"/>
  <c r="O112" i="11" s="1"/>
  <c r="Q112" i="11" s="1"/>
  <c r="M45" i="11"/>
  <c r="O45" i="11" s="1"/>
  <c r="Q45" i="11" s="1"/>
  <c r="H43" i="11"/>
  <c r="J43" i="11" s="1"/>
  <c r="L43" i="11" s="1"/>
  <c r="M93" i="11"/>
  <c r="O93" i="11" s="1"/>
  <c r="Q93" i="11" s="1"/>
  <c r="M43" i="11"/>
  <c r="O43" i="11" s="1"/>
  <c r="Q43" i="11" s="1"/>
  <c r="M110" i="11"/>
  <c r="O110" i="11" s="1"/>
  <c r="Q110" i="11" s="1"/>
  <c r="M59" i="11"/>
  <c r="O59" i="11" s="1"/>
  <c r="Q59" i="11" s="1"/>
  <c r="M143" i="11"/>
  <c r="O143" i="11" s="1"/>
  <c r="Q143" i="11" s="1"/>
  <c r="M158" i="11"/>
  <c r="O158" i="11" s="1"/>
  <c r="Q158" i="11" s="1"/>
  <c r="M126" i="11"/>
  <c r="O126" i="11" s="1"/>
  <c r="Q126" i="11" s="1"/>
  <c r="M77" i="11"/>
  <c r="O77" i="11" s="1"/>
  <c r="Q77" i="11" s="1"/>
  <c r="H147" i="11"/>
  <c r="J147" i="11" s="1"/>
  <c r="L147" i="11" s="1"/>
  <c r="M63" i="11"/>
  <c r="O63" i="11" s="1"/>
  <c r="Q63" i="11" s="1"/>
  <c r="M81" i="11"/>
  <c r="O81" i="11" s="1"/>
  <c r="Q81" i="11" s="1"/>
  <c r="M114" i="11"/>
  <c r="O114" i="11" s="1"/>
  <c r="Q114" i="11" s="1"/>
  <c r="M147" i="11"/>
  <c r="O147" i="11" s="1"/>
  <c r="Q147" i="11" s="1"/>
  <c r="M162" i="11"/>
  <c r="O162" i="11" s="1"/>
  <c r="Q162" i="11" s="1"/>
  <c r="M47" i="11"/>
  <c r="O47" i="11" s="1"/>
  <c r="Q47" i="11" s="1"/>
  <c r="M97" i="11"/>
  <c r="O97" i="11" s="1"/>
  <c r="Q97" i="11" s="1"/>
  <c r="H114" i="11"/>
  <c r="J114" i="11" s="1"/>
  <c r="L114" i="11" s="1"/>
  <c r="H156" i="11"/>
  <c r="J156" i="11" s="1"/>
  <c r="L156" i="11" s="1"/>
  <c r="H78" i="11"/>
  <c r="J78" i="11" s="1"/>
  <c r="L78" i="11" s="1"/>
  <c r="H162" i="11"/>
  <c r="J162" i="11" s="1"/>
  <c r="L162" i="11" s="1"/>
  <c r="H42" i="11"/>
  <c r="J42" i="11" s="1"/>
  <c r="L42" i="11" s="1"/>
  <c r="H143" i="11"/>
  <c r="J143" i="11" s="1"/>
  <c r="L143" i="11" s="1"/>
  <c r="H62" i="11"/>
  <c r="J62" i="11" s="1"/>
  <c r="L62" i="11" s="1"/>
  <c r="H113" i="11"/>
  <c r="J113" i="11" s="1"/>
  <c r="L113" i="11" s="1"/>
  <c r="H22" i="13"/>
  <c r="H164" i="11"/>
  <c r="J164" i="11" s="1"/>
  <c r="L164" i="11" s="1"/>
  <c r="H65" i="11"/>
  <c r="J65" i="11" s="1"/>
  <c r="L65" i="11" s="1"/>
  <c r="H149" i="11"/>
  <c r="J149" i="11" s="1"/>
  <c r="L149" i="11" s="1"/>
  <c r="H132" i="11"/>
  <c r="J132" i="11" s="1"/>
  <c r="L132" i="11" s="1"/>
  <c r="H83" i="11"/>
  <c r="J83" i="11" s="1"/>
  <c r="L83" i="11" s="1"/>
  <c r="H116" i="11"/>
  <c r="J116" i="11" s="1"/>
  <c r="L116" i="11" s="1"/>
  <c r="H99" i="11"/>
  <c r="J99" i="11" s="1"/>
  <c r="L99" i="11" s="1"/>
  <c r="H49" i="11"/>
  <c r="J49" i="11" s="1"/>
  <c r="L49" i="11" s="1"/>
  <c r="H109" i="11"/>
  <c r="J109" i="11" s="1"/>
  <c r="L109" i="11" s="1"/>
  <c r="H125" i="11"/>
  <c r="J125" i="11" s="1"/>
  <c r="L125" i="11" s="1"/>
  <c r="H161" i="11"/>
  <c r="J161" i="11" s="1"/>
  <c r="L161" i="11" s="1"/>
  <c r="H76" i="11"/>
  <c r="J76" i="11" s="1"/>
  <c r="L76" i="11" s="1"/>
  <c r="H92" i="11"/>
  <c r="J92" i="11" s="1"/>
  <c r="L92" i="11" s="1"/>
  <c r="H96" i="11"/>
  <c r="J96" i="11" s="1"/>
  <c r="L96" i="11" s="1"/>
  <c r="H77" i="11"/>
  <c r="J77" i="11" s="1"/>
  <c r="L77" i="11" s="1"/>
  <c r="H110" i="11"/>
  <c r="J110" i="11" s="1"/>
  <c r="L110" i="11" s="1"/>
  <c r="H93" i="11"/>
  <c r="J93" i="11" s="1"/>
  <c r="L93" i="11" s="1"/>
  <c r="H59" i="11"/>
  <c r="J59" i="11" s="1"/>
  <c r="L59" i="11" s="1"/>
  <c r="H126" i="11"/>
  <c r="J126" i="11" s="1"/>
  <c r="L126" i="11" s="1"/>
  <c r="H58" i="11"/>
  <c r="J58" i="11" s="1"/>
  <c r="L58" i="11" s="1"/>
  <c r="H46" i="11"/>
  <c r="J46" i="11" s="1"/>
  <c r="L46" i="11" s="1"/>
  <c r="H158" i="11"/>
  <c r="J158" i="11" s="1"/>
  <c r="L158" i="11" s="1"/>
  <c r="E51" i="11"/>
  <c r="C118" i="11"/>
  <c r="G23" i="13"/>
  <c r="C51" i="11"/>
  <c r="J11" i="17"/>
  <c r="I11" i="17" s="1"/>
  <c r="E167" i="5"/>
  <c r="H160" i="11"/>
  <c r="J160" i="11" s="1"/>
  <c r="L160" i="11" s="1"/>
  <c r="H61" i="11"/>
  <c r="J61" i="11" s="1"/>
  <c r="L61" i="11" s="1"/>
  <c r="E202" i="5"/>
  <c r="E194" i="5"/>
  <c r="H112" i="11"/>
  <c r="J112" i="11" s="1"/>
  <c r="L112" i="11" s="1"/>
  <c r="E127" i="5"/>
  <c r="H145" i="11"/>
  <c r="J145" i="11" s="1"/>
  <c r="L145" i="11" s="1"/>
  <c r="H79" i="11"/>
  <c r="J79" i="11" s="1"/>
  <c r="L79" i="11" s="1"/>
  <c r="E223" i="5"/>
  <c r="E148" i="5"/>
  <c r="E83" i="5"/>
  <c r="H45" i="11"/>
  <c r="J45" i="11" s="1"/>
  <c r="L45" i="11" s="1"/>
  <c r="H144" i="11"/>
  <c r="J144" i="11" s="1"/>
  <c r="L144" i="11" s="1"/>
  <c r="H94" i="11"/>
  <c r="J94" i="11" s="1"/>
  <c r="L94" i="11" s="1"/>
  <c r="H60" i="11"/>
  <c r="J60" i="11" s="1"/>
  <c r="L60" i="11" s="1"/>
  <c r="H159" i="11"/>
  <c r="J159" i="11" s="1"/>
  <c r="L159" i="11" s="1"/>
  <c r="E101" i="5"/>
  <c r="E110" i="5"/>
  <c r="E176" i="5"/>
  <c r="E39" i="5"/>
  <c r="E23" i="5"/>
  <c r="E24" i="5"/>
  <c r="E185" i="5"/>
  <c r="E119" i="5"/>
  <c r="E259" i="5"/>
  <c r="E137" i="5"/>
  <c r="E136" i="5"/>
  <c r="E91" i="5"/>
  <c r="E214" i="5"/>
  <c r="E215" i="5"/>
  <c r="D26" i="2"/>
  <c r="D15" i="2"/>
  <c r="E250" i="5"/>
  <c r="E251" i="5"/>
  <c r="E232" i="5"/>
  <c r="E233" i="5"/>
  <c r="E157" i="5"/>
  <c r="E158" i="5"/>
  <c r="J157" i="11"/>
  <c r="L157" i="11" s="1"/>
  <c r="C85" i="11"/>
  <c r="E76" i="11"/>
  <c r="C166" i="11"/>
  <c r="E157" i="11"/>
  <c r="C67" i="11"/>
  <c r="E58" i="11"/>
  <c r="E142" i="11"/>
  <c r="C151" i="11"/>
  <c r="C101" i="11"/>
  <c r="E92" i="11"/>
  <c r="C134" i="11"/>
  <c r="E125" i="11"/>
  <c r="C18" i="2" l="1"/>
  <c r="C20" i="2" s="1"/>
  <c r="E166" i="11"/>
  <c r="G157" i="11"/>
  <c r="G166" i="11" s="1"/>
  <c r="E101" i="11"/>
  <c r="G92" i="11"/>
  <c r="G101" i="11" s="1"/>
  <c r="E134" i="11"/>
  <c r="G125" i="11"/>
  <c r="G134" i="11" s="1"/>
  <c r="E151" i="11"/>
  <c r="G142" i="11"/>
  <c r="G151" i="11" s="1"/>
  <c r="E85" i="11"/>
  <c r="G76" i="11"/>
  <c r="G85" i="11" s="1"/>
  <c r="E67" i="11"/>
  <c r="G58" i="11"/>
  <c r="G67" i="11" s="1"/>
  <c r="L166" i="11"/>
  <c r="C28" i="2"/>
  <c r="C29" i="2" s="1"/>
  <c r="C9" i="17" s="1"/>
  <c r="D9" i="17" s="1"/>
  <c r="H91" i="11"/>
  <c r="J91" i="11" s="1"/>
  <c r="H108" i="11"/>
  <c r="J108" i="11" s="1"/>
  <c r="H57" i="11"/>
  <c r="J57" i="11" s="1"/>
  <c r="D9" i="2"/>
  <c r="C10" i="2" s="1"/>
  <c r="C11" i="2" s="1"/>
  <c r="C7" i="17" s="1"/>
  <c r="D7" i="17" s="1"/>
  <c r="H23" i="13"/>
  <c r="H141" i="11"/>
  <c r="J141" i="11" s="1"/>
  <c r="M141" i="11"/>
  <c r="M75" i="11"/>
  <c r="M108" i="11"/>
  <c r="M57" i="11"/>
  <c r="M91" i="11"/>
  <c r="M156" i="11"/>
  <c r="M41" i="11"/>
  <c r="M124" i="11"/>
  <c r="H124" i="11"/>
  <c r="H75" i="11"/>
  <c r="H41" i="11"/>
  <c r="J41" i="11" s="1"/>
  <c r="H166" i="11"/>
  <c r="J166" i="11"/>
  <c r="D18" i="2" l="1"/>
  <c r="D19" i="2" s="1"/>
  <c r="D20" i="2" s="1"/>
  <c r="C21" i="2" s="1"/>
  <c r="C22" i="2" s="1"/>
  <c r="C8" i="17" s="1"/>
  <c r="D8" i="17" s="1"/>
  <c r="H29" i="11"/>
  <c r="H30" i="11" s="1"/>
  <c r="H31" i="11" s="1"/>
  <c r="J118" i="11"/>
  <c r="L108" i="11"/>
  <c r="L118" i="11" s="1"/>
  <c r="J101" i="11"/>
  <c r="L91" i="11"/>
  <c r="L101" i="11" s="1"/>
  <c r="J51" i="11"/>
  <c r="L41" i="11"/>
  <c r="L51" i="11" s="1"/>
  <c r="H118" i="11"/>
  <c r="J151" i="11"/>
  <c r="L141" i="11"/>
  <c r="L151" i="11" s="1"/>
  <c r="J67" i="11"/>
  <c r="L57" i="11"/>
  <c r="L67" i="11" s="1"/>
  <c r="H67" i="11"/>
  <c r="H101" i="11"/>
  <c r="H51" i="11"/>
  <c r="H151" i="11"/>
  <c r="O141" i="11"/>
  <c r="M151" i="11"/>
  <c r="M67" i="11"/>
  <c r="O57" i="11"/>
  <c r="O124" i="11"/>
  <c r="M134" i="11"/>
  <c r="O156" i="11"/>
  <c r="M166" i="11"/>
  <c r="M101" i="11"/>
  <c r="O91" i="11"/>
  <c r="M118" i="11"/>
  <c r="O108" i="11"/>
  <c r="O41" i="11"/>
  <c r="M51" i="11"/>
  <c r="O75" i="11"/>
  <c r="M85" i="11"/>
  <c r="J75" i="11"/>
  <c r="H85" i="11"/>
  <c r="J124" i="11"/>
  <c r="H134" i="11"/>
  <c r="J30" i="11" l="1"/>
  <c r="O166" i="11"/>
  <c r="Q156" i="11"/>
  <c r="Q166" i="11" s="1"/>
  <c r="O85" i="11"/>
  <c r="Q75" i="11"/>
  <c r="Q85" i="11" s="1"/>
  <c r="O67" i="11"/>
  <c r="Q57" i="11"/>
  <c r="Q67" i="11" s="1"/>
  <c r="O51" i="11"/>
  <c r="Q41" i="11"/>
  <c r="Q51" i="11" s="1"/>
  <c r="O118" i="11"/>
  <c r="Q108" i="11"/>
  <c r="Q118" i="11" s="1"/>
  <c r="O134" i="11"/>
  <c r="Q124" i="11"/>
  <c r="Q134" i="11" s="1"/>
  <c r="O101" i="11"/>
  <c r="Q91" i="11"/>
  <c r="Q101" i="11" s="1"/>
  <c r="O151" i="11"/>
  <c r="Q141" i="11"/>
  <c r="Q151" i="11" s="1"/>
  <c r="J134" i="11"/>
  <c r="L124" i="11"/>
  <c r="L134" i="11" s="1"/>
  <c r="J85" i="11"/>
  <c r="L75" i="11"/>
  <c r="L85" i="11" s="1"/>
  <c r="J29" i="11" l="1"/>
  <c r="J31" i="11" l="1"/>
  <c r="H32" i="11" s="1"/>
  <c r="H33" i="11" s="1"/>
  <c r="C10" i="17" s="1"/>
  <c r="D10" i="17" s="1"/>
  <c r="D13" i="17" s="1"/>
  <c r="D15" i="17" s="1"/>
  <c r="G15" i="17" s="1"/>
  <c r="C1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daye</author>
    <author>benjamin.owen</author>
    <author>Eddy, Susan (FTA)</author>
  </authors>
  <commentList>
    <comment ref="B2" authorId="0" shapeId="0" xr:uid="{00000000-0006-0000-0000-000001000000}">
      <text>
        <r>
          <rPr>
            <sz val="10"/>
            <color indexed="81"/>
            <rFont val="Arial"/>
            <family val="2"/>
          </rPr>
          <t xml:space="preserve">Enter your official name for the project as you would like it reflected in the Annual Report on Funding Recommendations </t>
        </r>
      </text>
    </comment>
    <comment ref="C50" authorId="1" shapeId="0" xr:uid="{00000000-0006-0000-0000-000002000000}">
      <text>
        <r>
          <rPr>
            <sz val="10"/>
            <color indexed="81"/>
            <rFont val="Arial"/>
            <family val="2"/>
          </rPr>
          <t>Count paired inbound/outbound boarding platforms as one station (do not report the total number of boarding platforms)</t>
        </r>
      </text>
    </comment>
    <comment ref="B51" authorId="2" shapeId="0" xr:uid="{EB5C84D6-CCDD-412F-9A28-A688B222A8AC}">
      <text>
        <r>
          <rPr>
            <sz val="10"/>
            <color indexed="81"/>
            <rFont val="Arial"/>
            <family val="2"/>
          </rPr>
          <t>Include park and ride spaces that are part of this project. Do not include existing park and ride spaces.</t>
        </r>
      </text>
    </comment>
    <comment ref="C54" authorId="0" shapeId="0" xr:uid="{00000000-0006-0000-0000-000003000000}">
      <text>
        <r>
          <rPr>
            <sz val="10"/>
            <color indexed="81"/>
            <rFont val="Arial"/>
            <family val="2"/>
          </rPr>
          <t>Insert additional rows if necessary</t>
        </r>
      </text>
    </comment>
    <comment ref="C74" authorId="0" shapeId="0" xr:uid="{00000000-0006-0000-0000-000004000000}">
      <text>
        <r>
          <rPr>
            <sz val="10"/>
            <color indexed="81"/>
            <rFont val="Arial"/>
            <family val="2"/>
          </rPr>
          <t>Insert additional rows if necessary</t>
        </r>
      </text>
    </comment>
    <comment ref="A95" authorId="1" shapeId="0" xr:uid="{00000000-0006-0000-0000-000005000000}">
      <text>
        <r>
          <rPr>
            <sz val="10"/>
            <color indexed="81"/>
            <rFont val="Arial"/>
            <family val="2"/>
          </rPr>
          <t>The "current year" is the most recent year for which data on demographics and the existing transit system are available.</t>
        </r>
      </text>
    </comment>
    <comment ref="C97" authorId="0" shapeId="0" xr:uid="{00000000-0006-0000-0000-000006000000}">
      <text>
        <r>
          <rPr>
            <sz val="10"/>
            <color indexed="81"/>
            <rFont val="Arial"/>
            <family val="2"/>
          </rPr>
          <t>Value linked from Finance Template</t>
        </r>
      </text>
    </comment>
    <comment ref="C98" authorId="0" shapeId="0" xr:uid="{00000000-0006-0000-0000-000007000000}">
      <text>
        <r>
          <rPr>
            <sz val="10"/>
            <color indexed="81"/>
            <rFont val="Arial"/>
            <family val="2"/>
          </rPr>
          <t>Value linked from Finance Template</t>
        </r>
      </text>
    </comment>
    <comment ref="B104" authorId="2" shapeId="0" xr:uid="{06AFE979-4A5F-4F53-9A63-D693F41B948B}">
      <text>
        <r>
          <rPr>
            <sz val="10"/>
            <color indexed="81"/>
            <rFont val="Arial"/>
            <family val="2"/>
          </rPr>
          <t>Example: 6:00 am - 9:00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benjamin.owen</author>
    <author>daye</author>
  </authors>
  <commentList>
    <comment ref="A70" authorId="0" shapeId="0" xr:uid="{00000000-0006-0000-0300-000001000000}">
      <text>
        <r>
          <rPr>
            <sz val="10"/>
            <color indexed="81"/>
            <rFont val="Arial"/>
            <family val="2"/>
          </rPr>
          <t>Add additional counties as necessary.  Please update formulas for the totals for all counties at the top of this template if additional counties are added.</t>
        </r>
      </text>
    </comment>
    <comment ref="G261" authorId="1" shapeId="0" xr:uid="{00000000-0006-0000-0300-000002000000}">
      <text>
        <r>
          <rPr>
            <sz val="10"/>
            <color indexed="81"/>
            <rFont val="Arial"/>
            <family val="2"/>
          </rPr>
          <t>Add additional station areas as necessary.  Please update formulas for the totals for all stations areas at the top of this template if additional station areas are added.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elizabeth.day</author>
  </authors>
  <commentList>
    <comment ref="H25" authorId="0" shapeId="0" xr:uid="{00000000-0006-0000-0400-000001000000}">
      <text>
        <r>
          <rPr>
            <sz val="9"/>
            <color indexed="81"/>
            <rFont val="Tahoma"/>
            <family val="2"/>
          </rPr>
          <t xml:space="preserve">Becomes input to tables below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daye</author>
    <author>FChowdhury</author>
  </authors>
  <commentList>
    <comment ref="B4" authorId="0" shapeId="0" xr:uid="{00000000-0006-0000-0500-000001000000}">
      <text>
        <r>
          <rPr>
            <sz val="10"/>
            <color indexed="81"/>
            <rFont val="Arial"/>
            <family val="2"/>
          </rPr>
          <t>Please enter entire numbers in the cells in this worksheet.  Do not abbreviate or round.  For example, enter $1,000,105 rather than $1.0 or $1,000,000.  Otherwise calculations will not work correctly.</t>
        </r>
      </text>
    </comment>
    <comment ref="B140" authorId="1" shapeId="0" xr:uid="{00000000-0006-0000-0500-000002000000}">
      <text>
        <r>
          <rPr>
            <sz val="9"/>
            <color indexed="81"/>
            <rFont val="Tahoma"/>
            <family val="2"/>
          </rPr>
          <t xml:space="preserve">For both the project and the transit system, provide the costs for the first full year of service (even if this period extends into the next fiscal or calendar year).
</t>
        </r>
      </text>
    </comment>
  </commentList>
</comments>
</file>

<file path=xl/sharedStrings.xml><?xml version="1.0" encoding="utf-8"?>
<sst xmlns="http://schemas.openxmlformats.org/spreadsheetml/2006/main" count="1751" uniqueCount="508">
  <si>
    <t>PROJECT NAME:</t>
  </si>
  <si>
    <t>Participating Agencies</t>
  </si>
  <si>
    <t>Lead Agency</t>
  </si>
  <si>
    <t>Name</t>
  </si>
  <si>
    <t>Contact Person</t>
  </si>
  <si>
    <t>Address</t>
  </si>
  <si>
    <t>Telephone Number</t>
  </si>
  <si>
    <t>Fax Number</t>
  </si>
  <si>
    <t>Email</t>
  </si>
  <si>
    <t>Metropolitan Planning Organization</t>
  </si>
  <si>
    <t>Transit Agency</t>
  </si>
  <si>
    <t>State Department of Transportation</t>
  </si>
  <si>
    <t>Other Relevant Agencies</t>
  </si>
  <si>
    <t>NEW STARTS PROJECT DESCRIPTION TEMPLATE (Page 2)</t>
  </si>
  <si>
    <t>Project Definition</t>
  </si>
  <si>
    <t>Length (miles)</t>
  </si>
  <si>
    <t>Mode/Technology</t>
  </si>
  <si>
    <t>Number of Stations</t>
  </si>
  <si>
    <r>
      <t>List each station separately, including the number of park and ride spaces</t>
    </r>
    <r>
      <rPr>
        <b/>
        <sz val="10"/>
        <color rgb="FFFF0000"/>
        <rFont val="Arial"/>
        <family val="2"/>
      </rPr>
      <t xml:space="preserve"> </t>
    </r>
    <r>
      <rPr>
        <b/>
        <sz val="10"/>
        <rFont val="Arial"/>
        <family val="2"/>
      </rPr>
      <t>at each and whether structured or surface parking</t>
    </r>
  </si>
  <si>
    <t>List each station with major transfer facilities to other modes</t>
  </si>
  <si>
    <t>Number of vehicles/rolling stock</t>
  </si>
  <si>
    <t>Type of Alignment by Segment (Number of Miles)</t>
  </si>
  <si>
    <t>Above grade</t>
  </si>
  <si>
    <t>Below grade</t>
  </si>
  <si>
    <t>At grade</t>
  </si>
  <si>
    <t>Exclusive</t>
  </si>
  <si>
    <t>Mixed Traffic</t>
  </si>
  <si>
    <t>Status of Existing Right of Way</t>
  </si>
  <si>
    <t>Ownership – who owns the right of way?</t>
  </si>
  <si>
    <t>Current Use: active freight or passenger service?</t>
  </si>
  <si>
    <t>NEW STARTS PROJECT DESCRIPTION TEMPLATE (Page 3)</t>
  </si>
  <si>
    <t>Seeking Use of Project Justification Warrants?</t>
  </si>
  <si>
    <t>Project Planning Dates</t>
  </si>
  <si>
    <t>Current Year</t>
  </si>
  <si>
    <t>Opening Year</t>
  </si>
  <si>
    <t>Capital Cost Estimate</t>
  </si>
  <si>
    <t>Year of Expenditure</t>
  </si>
  <si>
    <t>Levels of Service</t>
  </si>
  <si>
    <t>Headways</t>
  </si>
  <si>
    <t>Horizon Year</t>
  </si>
  <si>
    <t>Weekday Peak</t>
  </si>
  <si>
    <t>Weekday Off-peak</t>
  </si>
  <si>
    <t>Weekday Evening</t>
  </si>
  <si>
    <t>Weekend</t>
  </si>
  <si>
    <t>Hours of Service</t>
  </si>
  <si>
    <t>Weekday</t>
  </si>
  <si>
    <t>(Select...)</t>
  </si>
  <si>
    <t>Estimated Number of U.S. Jobs Related to Design, Construction, Operation and Maintenance of the Project</t>
  </si>
  <si>
    <t>Project Planning and Development Schedule</t>
  </si>
  <si>
    <t>Project Schedule</t>
  </si>
  <si>
    <t>Insert anticipated or actual date</t>
  </si>
  <si>
    <t>Anticipated NEPA Class of Action</t>
  </si>
  <si>
    <t>(Select…)</t>
  </si>
  <si>
    <t>Entry into Project Development</t>
  </si>
  <si>
    <t>LPA selected</t>
  </si>
  <si>
    <t>LPA included in the financially constrained long range plan</t>
  </si>
  <si>
    <t>Approval into Engineering</t>
  </si>
  <si>
    <t>Anticipated FFGA Award</t>
  </si>
  <si>
    <t>Construction Duration (enter start and end dates)</t>
  </si>
  <si>
    <t>Initiation of Revenue Service</t>
  </si>
  <si>
    <t>Project Management</t>
  </si>
  <si>
    <t>Project Manager</t>
  </si>
  <si>
    <t>Phone</t>
  </si>
  <si>
    <t>Fax</t>
  </si>
  <si>
    <t>Agency CEO</t>
  </si>
  <si>
    <t>Key Agency Staff:                  Overall New Starts Criteria</t>
  </si>
  <si>
    <t>[1] Please provide a narrative summarizing fare policy assumptions used for all regional transit services.  Include this summary as an attachment.</t>
  </si>
  <si>
    <t>NEW STARTS PROJECT DESCRIPTION TEMPLATE (Page 4)</t>
  </si>
  <si>
    <t>Key Agency Staff: 
Ridership Forecasts</t>
  </si>
  <si>
    <t xml:space="preserve">Key Agency Staff: </t>
  </si>
  <si>
    <t>Cost Estimates</t>
  </si>
  <si>
    <t>Key Agency Staff:</t>
  </si>
  <si>
    <t>Environmental</t>
  </si>
  <si>
    <t>Documentation</t>
  </si>
  <si>
    <t>Land Use Assessment</t>
  </si>
  <si>
    <t>Financial Assessment</t>
  </si>
  <si>
    <t>Project Maps</t>
  </si>
  <si>
    <t>Contractors</t>
  </si>
  <si>
    <t>Current Prime Contractor</t>
  </si>
  <si>
    <t>Prime Contractor: Project Manager</t>
  </si>
  <si>
    <t>Contractor Responsible for Travel Forecasts</t>
  </si>
  <si>
    <t>Contractor Responsible for Capital Cost Estimates</t>
  </si>
  <si>
    <t>Trips on the Project</t>
  </si>
  <si>
    <t>Line</t>
  </si>
  <si>
    <t>Transit market</t>
  </si>
  <si>
    <t>Trips made by:</t>
  </si>
  <si>
    <t>Daily linked trips</t>
  </si>
  <si>
    <t>Annuali-zation factor</t>
  </si>
  <si>
    <r>
      <t xml:space="preserve">Annual linked trips
</t>
    </r>
    <r>
      <rPr>
        <sz val="10"/>
        <color theme="1"/>
        <rFont val="Arial"/>
        <family val="2"/>
      </rPr>
      <t>(daily trips * annualization factor)</t>
    </r>
  </si>
  <si>
    <t>Brief description of the process used to develop travel forecasts (e.g., local model, FTA simplified national model, incremental data-driven method, direct demand model)</t>
  </si>
  <si>
    <t>1a</t>
  </si>
  <si>
    <t>Modeled trips: home-based work (HBW)</t>
  </si>
  <si>
    <t>Non-transit dependents</t>
  </si>
  <si>
    <t>1b</t>
  </si>
  <si>
    <t>Transit dependents</t>
  </si>
  <si>
    <t>2a</t>
  </si>
  <si>
    <t>Modeled trips: all other trip purposes</t>
  </si>
  <si>
    <t>2b</t>
  </si>
  <si>
    <t>3a</t>
  </si>
  <si>
    <t>Special market 1 (specify)</t>
  </si>
  <si>
    <t>3b</t>
  </si>
  <si>
    <t>4a</t>
  </si>
  <si>
    <t>Special market 2 (specify)</t>
  </si>
  <si>
    <t>4b</t>
  </si>
  <si>
    <t>5a</t>
  </si>
  <si>
    <t>Special market 3 (specify)</t>
  </si>
  <si>
    <t>5b</t>
  </si>
  <si>
    <t>6a</t>
  </si>
  <si>
    <t>Special market 4 (specify)</t>
  </si>
  <si>
    <t>6b</t>
  </si>
  <si>
    <t>7a</t>
  </si>
  <si>
    <t>Subtotal (lines 1 through 6)</t>
  </si>
  <si>
    <t>---</t>
  </si>
  <si>
    <t>7b</t>
  </si>
  <si>
    <t>8a</t>
  </si>
  <si>
    <t>Total annual linked trips with special markets (lines 7a through 7b)</t>
  </si>
  <si>
    <t>8b</t>
  </si>
  <si>
    <t>Total daily linked trips without special markets (lines 1a through 2b)</t>
  </si>
  <si>
    <t>New transit trips</t>
  </si>
  <si>
    <t>Vehicle-Miles of Travel (VMT)</t>
  </si>
  <si>
    <t>Mode / Technology</t>
  </si>
  <si>
    <t>Daily VMT</t>
  </si>
  <si>
    <r>
      <t xml:space="preserve">Annual VMT
</t>
    </r>
    <r>
      <rPr>
        <sz val="10"/>
        <color theme="1"/>
        <rFont val="Arial"/>
        <family val="2"/>
      </rPr>
      <t>(for automobile, calculation is daily VMT * annualization factor;
for transit, source is service plans for each mode/technology)</t>
    </r>
  </si>
  <si>
    <r>
      <t xml:space="preserve">VMT change
</t>
    </r>
    <r>
      <rPr>
        <sz val="10"/>
        <color theme="1"/>
        <rFont val="Arial"/>
        <family val="2"/>
      </rPr>
      <t>(Build minus No-build VMT)</t>
    </r>
  </si>
  <si>
    <t>No-build</t>
  </si>
  <si>
    <t>Build</t>
  </si>
  <si>
    <t>Automobile</t>
  </si>
  <si>
    <t>Diesel bus</t>
  </si>
  <si>
    <t>Hybrid bus</t>
  </si>
  <si>
    <t>CNG bus</t>
  </si>
  <si>
    <t>Electric bus</t>
  </si>
  <si>
    <t>Heavy rail [1]</t>
  </si>
  <si>
    <t>Light rail / streetcar [1]</t>
  </si>
  <si>
    <t>Commuter rail (new diesel locomotive or DMU) [1]</t>
  </si>
  <si>
    <t>Commuter rail (used diesel locomotive) [1]</t>
  </si>
  <si>
    <t>Commuter rail (electric or EMU) [1]</t>
  </si>
  <si>
    <t>[1] For rail transit modes, report VMT in terms of total rail passenger car mileage, not train mileage.  (As an illustration of the difference, the rail passenger car mileage for a commuter rail or heavy rail train with six passenger cars would be six times the train mileage.)</t>
  </si>
  <si>
    <t>Current year</t>
  </si>
  <si>
    <t>10 years</t>
  </si>
  <si>
    <t>20 years</t>
  </si>
  <si>
    <t>Rating Lookup Tables</t>
  </si>
  <si>
    <t>Description</t>
  </si>
  <si>
    <t>Low-end of Range</t>
  </si>
  <si>
    <t>Score</t>
  </si>
  <si>
    <t>Warrant Validation</t>
  </si>
  <si>
    <t>Cost Effectiveness (Cost per Trip) - New Starts: Numeric Rating</t>
  </si>
  <si>
    <t>N/A</t>
  </si>
  <si>
    <t>HIGH</t>
  </si>
  <si>
    <t>Requesting warrant?</t>
  </si>
  <si>
    <t>MEDIUM-HIGH</t>
  </si>
  <si>
    <t>MEDIUM</t>
  </si>
  <si>
    <t>Ridership bands</t>
  </si>
  <si>
    <t>Cost bands</t>
  </si>
  <si>
    <t>CIG share/amount</t>
  </si>
  <si>
    <t>MEDIUM-LOW</t>
  </si>
  <si>
    <t>5309 share 50% or less</t>
  </si>
  <si>
    <t>LOW</t>
  </si>
  <si>
    <t>5309 amount $100m or less</t>
  </si>
  <si>
    <t>Cost Effectiveness (Cost per Trip) - Small Starts: Numeric Rating</t>
  </si>
  <si>
    <t>Neither</t>
  </si>
  <si>
    <t>This project:</t>
  </si>
  <si>
    <t>Standard Five-point Scale</t>
  </si>
  <si>
    <t>NOT RATED</t>
  </si>
  <si>
    <t>Can't be warranted if doesn't meet at least one of the CIG share/amount criteria</t>
  </si>
  <si>
    <t>Can't be warranted if ridership or cost is in band 0 (ridership &lt; 3000, cost &gt; 500m)</t>
  </si>
  <si>
    <t>Otherwise, number of cost band cannot exceed number of ridership band</t>
  </si>
  <si>
    <t>Does project qualify for warrants?</t>
  </si>
  <si>
    <t>If project is warranted, rating appears as</t>
  </si>
  <si>
    <t>MEDIUM (Warranted)</t>
  </si>
  <si>
    <t>If project does not meet thresholds, rating appears as</t>
  </si>
  <si>
    <t>Project does not meet thresholds for warrants</t>
  </si>
  <si>
    <t>Mobility: Weighted Estimated Annual Trips</t>
  </si>
  <si>
    <t>List of possible ratings for rating estimation tab</t>
  </si>
  <si>
    <t>-</t>
  </si>
  <si>
    <t>Environmental Benefits</t>
  </si>
  <si>
    <t>Congestion Relief</t>
  </si>
  <si>
    <t>NEW STARTS MOBILITY, COST-EFFECTIVENESS, AND CONGESTION RELIEF TEMPLATE</t>
  </si>
  <si>
    <t>Mobility Improvements</t>
  </si>
  <si>
    <t>Item</t>
  </si>
  <si>
    <t>Values</t>
  </si>
  <si>
    <t>Source/Calculation</t>
  </si>
  <si>
    <t>Annual linked trips on the project with double weight for trips by transit-dependent persons</t>
  </si>
  <si>
    <t>Value used in rating</t>
  </si>
  <si>
    <t>If a 10- or 20-year horizon is used: 50 percent * Line 1 current year value + 50 percent * Line 1 horizon year value
If no horizon year is used: Line 1 current year value</t>
  </si>
  <si>
    <t>Cost Effectiveness</t>
  </si>
  <si>
    <t>Source: SCC Build Annualized worksheets</t>
  </si>
  <si>
    <t>Source: O &amp; M cost models (attach documentation)</t>
  </si>
  <si>
    <t>Annual linked trips on the project</t>
  </si>
  <si>
    <t>Line 3 + Line 4</t>
  </si>
  <si>
    <t>Annualized cost per annual linked trip on the project</t>
  </si>
  <si>
    <t>Line 6 / Line 5</t>
  </si>
  <si>
    <t>If a 10- or 20-year horizon is used: 50 percent * Line 7 current year value + 50 percent * Line 7 horizon year value
If no horizon year is used: Line 7 current year value</t>
  </si>
  <si>
    <t>New Weekday Linked Transit Trips</t>
  </si>
  <si>
    <t>NEW STARTS LAND USE TEMPLATE (QUANTITATIVE DATA)</t>
  </si>
  <si>
    <t>Population, Employment and Housing – Metropolitan Area, CBD, and Corridor</t>
  </si>
  <si>
    <t>Geographic Area</t>
  </si>
  <si>
    <t>Growth (%)</t>
  </si>
  <si>
    <t>Metropolitan Area</t>
  </si>
  <si>
    <t>Total Population</t>
  </si>
  <si>
    <t>Total Employment</t>
  </si>
  <si>
    <t>Central Business District [see footnote 1]</t>
  </si>
  <si>
    <t>Employment – Percent of Metropolitan Area</t>
  </si>
  <si>
    <t>CBD Land Area (sq. mi.)</t>
  </si>
  <si>
    <t>Employment Density (e.g., jobs per sq. mi.)</t>
  </si>
  <si>
    <t xml:space="preserve">Corridor </t>
  </si>
  <si>
    <t>Population – Percent of Metropolitan Area</t>
  </si>
  <si>
    <t>Corridor Land Area (sq. mi.)</t>
  </si>
  <si>
    <t>Population Density (persons per sq. mi.)</t>
  </si>
  <si>
    <t>Employment Density (jobs per sq. mi.)</t>
  </si>
  <si>
    <t>Total - All Counties in which Project Stations are Located</t>
  </si>
  <si>
    <t>Housing Units - All Types</t>
  </si>
  <si>
    <t>Housing Units - Legally Binding Affordability Restricted</t>
  </si>
  <si>
    <t>Number of Counties</t>
  </si>
  <si>
    <t>Total - All Station Areas (1/2-mile radius)  [See footnote 2]</t>
  </si>
  <si>
    <t>Population</t>
  </si>
  <si>
    <t>Employment at New Project Stations</t>
  </si>
  <si>
    <t>Employment at Existing Stations Along the Line [see footnote 3]</t>
  </si>
  <si>
    <t>Land Area (square miles)</t>
  </si>
  <si>
    <t>Housing Unit Density (units per sq. mi.) - All Types</t>
  </si>
  <si>
    <t>Employment Density (persons per sq. mi.)</t>
  </si>
  <si>
    <t>Station-Area Share of Legally Binding Affordability Restricted Housing Units</t>
  </si>
  <si>
    <t>Share of Housing Units that are Legally Binding Affordability Restricted in the Corridor compared to Share in the Counties</t>
  </si>
  <si>
    <t>Proportion in All Station Areas</t>
  </si>
  <si>
    <t>Proportion in All Counties in which Project Stations are Located</t>
  </si>
  <si>
    <t>Ratio, Proportion in All Station Areas to Proportion in All Counties in which Project Stations are Located</t>
  </si>
  <si>
    <t>Housing Totals for Each County in which Project Stations are Located</t>
  </si>
  <si>
    <t>County 1</t>
  </si>
  <si>
    <t>County Name:</t>
  </si>
  <si>
    <t>Housing Units - All Types  [See footnote 4]</t>
  </si>
  <si>
    <t>County 2</t>
  </si>
  <si>
    <t>County 3</t>
  </si>
  <si>
    <t>County 4</t>
  </si>
  <si>
    <t>County 5</t>
  </si>
  <si>
    <t>NEW STARTS LAND USE TEMPLATE (QUANTITATIVE DATA) page 2</t>
  </si>
  <si>
    <t>Housing, Population and Employment for Each Station Area That is Part of the Proposed Project</t>
  </si>
  <si>
    <t>Horizon</t>
  </si>
  <si>
    <t>Station Area 1 [See footnote 5]</t>
  </si>
  <si>
    <t>Station Name:</t>
  </si>
  <si>
    <t>Employment</t>
  </si>
  <si>
    <t xml:space="preserve">Land Area (square miles) </t>
  </si>
  <si>
    <t>Station Area 2</t>
  </si>
  <si>
    <t>Station Area 3</t>
  </si>
  <si>
    <t>Station Area 4</t>
  </si>
  <si>
    <t>Station Area 5</t>
  </si>
  <si>
    <t>Station Area 6</t>
  </si>
  <si>
    <t>Station Area 7</t>
  </si>
  <si>
    <t>NEW STARTS LAND USE TEMPLATE (QUANTITATIVE DATA) page 3</t>
  </si>
  <si>
    <t>Station Area 8</t>
  </si>
  <si>
    <t>Station Area 9</t>
  </si>
  <si>
    <t>Station Area 10</t>
  </si>
  <si>
    <t>Station Area 11</t>
  </si>
  <si>
    <t>Station Area 12</t>
  </si>
  <si>
    <t>Station Area 13</t>
  </si>
  <si>
    <t>Station Area 14</t>
  </si>
  <si>
    <t>NEW STARTS LAND USE TEMPLATE (QUANTITATIVE DATA) page 4</t>
  </si>
  <si>
    <t>Station Area 15</t>
  </si>
  <si>
    <t>Station Area 16</t>
  </si>
  <si>
    <t>Station Area 17</t>
  </si>
  <si>
    <t>Station Area 18</t>
  </si>
  <si>
    <t>Station Area 19</t>
  </si>
  <si>
    <t>Station Area 20</t>
  </si>
  <si>
    <t>[1] Optionally, employment for the largest activity center(s) served by the project may be reported.</t>
  </si>
  <si>
    <t xml:space="preserve">[3] This information should be entered only for projects that are extensions to existing lines. Provide the total employment served within a 1/2-mile radius of the existing stations along the entire line on which a no-transfer ride from the proposed project’s stations can be reached. Do not include employment within a ½-mile radius of the new stations. </t>
  </si>
  <si>
    <t>[4] Countywide housing unit totals are available from the U.S. Census Bureau's American Community Survey website (http://www.census.gov/acs/).</t>
  </si>
  <si>
    <t xml:space="preserve">[5] Reporting of data by individual station area is required.  </t>
  </si>
  <si>
    <t>NEW STARTS ENVIRONMENTAL BENEFITS TEMPLATE</t>
  </si>
  <si>
    <t>Attainment Status</t>
  </si>
  <si>
    <t>Regional air quality attainment status, carbon monoxide (CO)</t>
  </si>
  <si>
    <t>Source: EPA Green Book</t>
  </si>
  <si>
    <r>
      <t>Regional air quality attainment status, nitrogen dioxide (NO</t>
    </r>
    <r>
      <rPr>
        <b/>
        <vertAlign val="subscript"/>
        <sz val="11"/>
        <rFont val="Calibri"/>
        <family val="2"/>
        <scheme val="minor"/>
      </rPr>
      <t>2</t>
    </r>
    <r>
      <rPr>
        <b/>
        <sz val="11"/>
        <rFont val="Calibri"/>
        <family val="2"/>
        <scheme val="minor"/>
      </rPr>
      <t>)</t>
    </r>
  </si>
  <si>
    <r>
      <t>Regional air quality attainment status, ozone (O</t>
    </r>
    <r>
      <rPr>
        <b/>
        <vertAlign val="subscript"/>
        <sz val="11"/>
        <rFont val="Calibri"/>
        <family val="2"/>
        <scheme val="minor"/>
      </rPr>
      <t>3</t>
    </r>
    <r>
      <rPr>
        <b/>
        <sz val="11"/>
        <rFont val="Calibri"/>
        <family val="2"/>
        <scheme val="minor"/>
      </rPr>
      <t>) (2008 8-hour standard)</t>
    </r>
  </si>
  <si>
    <r>
      <t>Regional air quality attainment status, particulate matter (PM</t>
    </r>
    <r>
      <rPr>
        <b/>
        <vertAlign val="subscript"/>
        <sz val="11"/>
        <rFont val="Calibri"/>
        <family val="2"/>
        <scheme val="minor"/>
      </rPr>
      <t>2.5</t>
    </r>
    <r>
      <rPr>
        <b/>
        <sz val="11"/>
        <rFont val="Calibri"/>
        <family val="2"/>
        <scheme val="minor"/>
      </rPr>
      <t>) (2006 standard)</t>
    </r>
  </si>
  <si>
    <t>ADDITIONAL ENVIRONMENTAL BENEFITS INPUTS REQUIRED FOR WARRANTED NEW STARTS PROJECTS ONLY</t>
  </si>
  <si>
    <t>A</t>
  </si>
  <si>
    <t>Existing Annual Transit Ridership in the Corridor Today</t>
  </si>
  <si>
    <t>Input by project sponsor</t>
  </si>
  <si>
    <t>B</t>
  </si>
  <si>
    <t>Percentage Change in Corridor Annual Transit Vehicle Hours That Would Result from Implementation of the Proposed Project</t>
  </si>
  <si>
    <t>C</t>
  </si>
  <si>
    <t>Elasticity Factor</t>
  </si>
  <si>
    <t>TCRP Report 95, Traveler Response to Transportation System Changes: Transit Scheduling and Frequency (2004)</t>
  </si>
  <si>
    <t>D</t>
  </si>
  <si>
    <t>Estimated Increase in Annual Project Ridership</t>
  </si>
  <si>
    <t>Line A * Line B * Line C</t>
  </si>
  <si>
    <t>E</t>
  </si>
  <si>
    <t>Average share of transit users that previously drove</t>
  </si>
  <si>
    <t>Factor based on data from past projects in the CIG program</t>
  </si>
  <si>
    <t>F</t>
  </si>
  <si>
    <t>Estimated new transit ridership coming from autos</t>
  </si>
  <si>
    <t>Line D * Line E</t>
  </si>
  <si>
    <t>G</t>
  </si>
  <si>
    <t>Average auto occupany factor</t>
  </si>
  <si>
    <t xml:space="preserve">Nation-wide average for work trips from the 2009 National Household Travel Survey </t>
  </si>
  <si>
    <t>H</t>
  </si>
  <si>
    <t>Estimated decrease (increase) in auto trips</t>
  </si>
  <si>
    <t>Line F / Line G</t>
  </si>
  <si>
    <t>I</t>
  </si>
  <si>
    <t>Project Length</t>
  </si>
  <si>
    <t>From Project Description Template</t>
  </si>
  <si>
    <t>J</t>
  </si>
  <si>
    <t>Average trip length factor</t>
  </si>
  <si>
    <t>K</t>
  </si>
  <si>
    <t>Estimated decrease (increase) in Annual Auto Vehicle Miles Travelled</t>
  </si>
  <si>
    <t>Line H * Line I * Line J</t>
  </si>
  <si>
    <t>Summary Results</t>
  </si>
  <si>
    <t>Value of environmental benefits</t>
  </si>
  <si>
    <t>Sum of lines 19, 30, 41, 52, 63, 74, 85 and 96 for current and applicable (if any) horizon year</t>
  </si>
  <si>
    <t>Annualized capital and operating cost of project</t>
  </si>
  <si>
    <t>Mobility and Cost Effectiveness Template, Line 6</t>
  </si>
  <si>
    <t>Ratio of environmental benefits to annualized cost</t>
  </si>
  <si>
    <t>Line 5 / Line 6</t>
  </si>
  <si>
    <t>If a 10- or 20-year horizon is being used: 50 percent * Line 7 current year value + 50 percent * Line 7 horizon year value
If no horizon year is being used: Line 7 current year value</t>
  </si>
  <si>
    <t>NEW STARTS ENVIRONMENTAL BENEFITS TEMPLATE (page 2)</t>
  </si>
  <si>
    <t>VALUE OF BENEFITS BY FACTOR</t>
  </si>
  <si>
    <t>Air Quality: Carbon Monoxide (CO)</t>
  </si>
  <si>
    <t>Mode</t>
  </si>
  <si>
    <t>Horizon - 10 Years</t>
  </si>
  <si>
    <t>Horizon - 20 Years</t>
  </si>
  <si>
    <t>VMT Decrease
(Increase)</t>
  </si>
  <si>
    <t>Conversion Factor: Emissions (kg) / VMT</t>
  </si>
  <si>
    <t>Emissions Decrease (Increase)
(kg)</t>
  </si>
  <si>
    <t>Monetization Factor ($ / kg)</t>
  </si>
  <si>
    <t>Value of Improvement [1]</t>
  </si>
  <si>
    <t>Diesel Bus</t>
  </si>
  <si>
    <t>Hybrid Bus</t>
  </si>
  <si>
    <t>CNG Bus</t>
  </si>
  <si>
    <t>Electric Bus</t>
  </si>
  <si>
    <t>Heavy Rail</t>
  </si>
  <si>
    <t>Light Rail / Streetcar</t>
  </si>
  <si>
    <t>Commuter Rail - New diesel locomotive or DMU</t>
  </si>
  <si>
    <t>Commuter Rail - Used diesel locomotive</t>
  </si>
  <si>
    <t>Commuter Rail - Electric or EMU</t>
  </si>
  <si>
    <t>TOTAL CHANGE</t>
  </si>
  <si>
    <r>
      <t>Air Quality: Mono-Nitrogen Oxides (NO</t>
    </r>
    <r>
      <rPr>
        <b/>
        <vertAlign val="subscript"/>
        <sz val="12"/>
        <rFont val="Arial"/>
        <family val="2"/>
      </rPr>
      <t>x</t>
    </r>
    <r>
      <rPr>
        <b/>
        <sz val="12"/>
        <rFont val="Arial"/>
        <family val="2"/>
      </rPr>
      <t>)</t>
    </r>
  </si>
  <si>
    <t>NEW STARTS ENVIRONMENTAL BENEFITS TEMPLATE (page 3)</t>
  </si>
  <si>
    <t>Air Quality: Volatile Organic Compounds (VOCs)</t>
  </si>
  <si>
    <r>
      <t>Air Quality: Particulate Matter (PM</t>
    </r>
    <r>
      <rPr>
        <b/>
        <vertAlign val="subscript"/>
        <sz val="12"/>
        <rFont val="Arial"/>
        <family val="2"/>
      </rPr>
      <t>2.5</t>
    </r>
    <r>
      <rPr>
        <b/>
        <sz val="12"/>
        <rFont val="Arial"/>
        <family val="2"/>
      </rPr>
      <t>)</t>
    </r>
  </si>
  <si>
    <t>NEW STARTS ENVIRONMENTAL BENEFITS TEMPLATE (page 4)</t>
  </si>
  <si>
    <r>
      <t>Greenhouse Gases (Carbon Dioxide Equivalent [CO</t>
    </r>
    <r>
      <rPr>
        <b/>
        <vertAlign val="subscript"/>
        <sz val="12"/>
        <rFont val="Arial"/>
        <family val="2"/>
      </rPr>
      <t>2</t>
    </r>
    <r>
      <rPr>
        <b/>
        <sz val="12"/>
        <rFont val="Arial"/>
        <family val="2"/>
      </rPr>
      <t>e])</t>
    </r>
  </si>
  <si>
    <t>Conversion Factor: Emissions (ton) / VMT</t>
  </si>
  <si>
    <t>Emissions Decrease (Increase)
(tons)</t>
  </si>
  <si>
    <t>Monetization Factor
($ / ton)</t>
  </si>
  <si>
    <t>Energy Use (British Thermal Units [Btu])</t>
  </si>
  <si>
    <t>Conversion Factor: Energy Use (million Btu) / VMT</t>
  </si>
  <si>
    <t>Energy Use Decrease (Increase)
(million Btu)</t>
  </si>
  <si>
    <t>Monetization Factor
($ / million Btu)</t>
  </si>
  <si>
    <t>NEW STARTS ENVIRONMENTAL BENEFITS TEMPLATE (page 5)</t>
  </si>
  <si>
    <t>Safety: Fatalities</t>
  </si>
  <si>
    <t>Conversion Factor: Fatalities / VMT</t>
  </si>
  <si>
    <t>Fatality Decrease (Increase)</t>
  </si>
  <si>
    <t>Monetization Factor
($ / fatality)</t>
  </si>
  <si>
    <t>Safety: Injuries</t>
  </si>
  <si>
    <t>Conversion Factor: Injuries / VMT</t>
  </si>
  <si>
    <t>Injury Decrease (Increase)</t>
  </si>
  <si>
    <t>Monetization Factor
($ / injury)</t>
  </si>
  <si>
    <t>[1] Value will be positive for decreases and negative for increases.</t>
  </si>
  <si>
    <t>NEW STARTS FINANCE TEMPLATE</t>
  </si>
  <si>
    <r>
      <t xml:space="preserve">Total Capital Cost of Project in YOE dollars
(including finance charges, costs of Project Development and Engineering, and construction): </t>
    </r>
    <r>
      <rPr>
        <sz val="10"/>
        <rFont val="Arial"/>
        <family val="2"/>
      </rPr>
      <t>(from SCC Main Worksheet)</t>
    </r>
  </si>
  <si>
    <t>FTA CIG Funding Anticipated (YOE $):</t>
  </si>
  <si>
    <t>FTA CIG Share of Project Cost:</t>
  </si>
  <si>
    <t>Estimated Cost of Project Development (YOE $):</t>
  </si>
  <si>
    <t>Estimated Cost of Engineering (YOE $):</t>
  </si>
  <si>
    <r>
      <t xml:space="preserve">Total Finance Charges Included in Capital Cost (include finance charges that are expected prior to either the revenue operations date or the fulfillment of the CIG funding commitment, whichever is later in time): </t>
    </r>
    <r>
      <rPr>
        <sz val="10"/>
        <rFont val="Arial"/>
        <family val="2"/>
      </rPr>
      <t>(from SCC Main Worksheet)</t>
    </r>
  </si>
  <si>
    <t>Other Federal Capital Funding Sources</t>
  </si>
  <si>
    <t>Type of Funds</t>
  </si>
  <si>
    <t>Dollar Amount
(YOE)</t>
  </si>
  <si>
    <t>% of Total Capital Cost</t>
  </si>
  <si>
    <t xml:space="preserve">(Non-CIG Funds such as FTA Section 5307, Surface Transportation Program (STP), Congestion Mitigation and Air Quality (CMAQ), etc.) </t>
  </si>
  <si>
    <t>1. (Example: CMAQ)</t>
  </si>
  <si>
    <t>2.</t>
  </si>
  <si>
    <t>3.</t>
  </si>
  <si>
    <t>4.</t>
  </si>
  <si>
    <t xml:space="preserve">State Capital Funding Sources </t>
  </si>
  <si>
    <t>(Funds provided by state agencies or legislatures such as bonds, dedicated sales tax, annual legislative appropriation, transportation trust funds, etc.)</t>
  </si>
  <si>
    <t>1. (Example: State Transportation Fund)</t>
  </si>
  <si>
    <t>5.</t>
  </si>
  <si>
    <t>6.</t>
  </si>
  <si>
    <t>Local Capital Funding Sources</t>
  </si>
  <si>
    <t>(Municipal, City, County, Township, or Regional funding such as bonds, sales tax, legislative appropriation, transportation trust funds, etc.)</t>
  </si>
  <si>
    <t>1.</t>
  </si>
  <si>
    <t>7.</t>
  </si>
  <si>
    <t>8.</t>
  </si>
  <si>
    <t>9.</t>
  </si>
  <si>
    <t>10.</t>
  </si>
  <si>
    <t>11.</t>
  </si>
  <si>
    <t>12.</t>
  </si>
  <si>
    <t xml:space="preserve">Private Sector/In-kind match/Other </t>
  </si>
  <si>
    <t>(Donations of right-of-way, construction of stations or parking, or funding for the project from a non-governmental entity, business, or business assoc.)</t>
  </si>
  <si>
    <t>TOTAL NON-CIG FUNDING (YOE dollars)</t>
  </si>
  <si>
    <r>
      <t>QA/QC CHECK: TOTAL CAPITAL COSTS LESS CIG FUNDING LESS NON-CIG FUNDING</t>
    </r>
    <r>
      <rPr>
        <b/>
        <sz val="8"/>
        <rFont val="Arial"/>
        <family val="2"/>
      </rPr>
      <t xml:space="preserve"> (SHOULD EQUAL $0)</t>
    </r>
  </si>
  <si>
    <t>NEW STARTS FINANCE TEMPLATE (Section 2)</t>
  </si>
  <si>
    <t>New Starts Project Financial Commitment</t>
  </si>
  <si>
    <t xml:space="preserve">Other Federal Sources </t>
  </si>
  <si>
    <t>Are the funds obligated in an existing grant?</t>
  </si>
  <si>
    <t>Are the funds programmed in the current TIP/STIP?</t>
  </si>
  <si>
    <t>If funds are beyond the current TIP/STIP period, are they programmed to the project via MPO Board resolution or other official action?</t>
  </si>
  <si>
    <t>For discretionary or competitive grant funds, has the selection been announced or funds allocated?</t>
  </si>
  <si>
    <t>(Linked from section 1)</t>
  </si>
  <si>
    <t xml:space="preserve">State Sources </t>
  </si>
  <si>
    <t>Are the funds authorized by existing state law?</t>
  </si>
  <si>
    <t>Do the funds require annual/biennial appropriation by state legislature?</t>
  </si>
  <si>
    <t>Do the funds require approval via competitive or discretionary state grant process?</t>
  </si>
  <si>
    <t>Are the funds allocated by formula?</t>
  </si>
  <si>
    <t>(Select….)</t>
  </si>
  <si>
    <t>Local Sources</t>
  </si>
  <si>
    <t>Are the funds authorized by existing state/local law?</t>
  </si>
  <si>
    <t>Are the funds approved for the project in a Board-approved Capital Improvement Program, budget, or resolution?</t>
  </si>
  <si>
    <t>Are the funds committed to the project by a signed, final and completed third-party agreement?</t>
  </si>
  <si>
    <t>Are the funds contingent on a voter referendum?</t>
  </si>
  <si>
    <t>Private Sector/In-kind Match/Other</t>
  </si>
  <si>
    <t>Are the funds committed to the project by a signed, final, and completed third-party agreement?</t>
  </si>
  <si>
    <t>If in-kind contribution, has the value been approved by FTA per requirements of FTA Circular 5010?</t>
  </si>
  <si>
    <t>NEW STARTS FINANCE TEMPLATE (Section 3)</t>
  </si>
  <si>
    <t>Name of entity with ultimate programming authority for source of funds</t>
  </si>
  <si>
    <t>Describe all remaining actions needed to make the funds available to the project</t>
  </si>
  <si>
    <t>Identify and Describe Supporting Documentation Submitted to Verify Commitment Status of Funding Source</t>
  </si>
  <si>
    <t>(Example: Relevant pages from TIP/STIP)</t>
  </si>
  <si>
    <t>(Example: Relevant pages of authorizing legislation with applicable sections identified, official allocation notice from State agency)</t>
  </si>
  <si>
    <t>(Example: Relevant pages from Board-approved CIP; official Board resolution; final, complete third-party agreement with relevant sections/clauses identified)</t>
  </si>
  <si>
    <t xml:space="preserve">Name of entity with ultimate programming authority for source of funds </t>
  </si>
  <si>
    <t xml:space="preserve">Identify and Describe Supporting Documentation Submitted to Verify Commitment Status of Funding Source </t>
  </si>
  <si>
    <t>(Example: Final, complete third-party agreement with relevant sections/clauses identified)</t>
  </si>
  <si>
    <t>Reference Notes:  The following categories and definitions are applied to funding sources:</t>
  </si>
  <si>
    <r>
      <t>Committed:</t>
    </r>
    <r>
      <rPr>
        <sz val="10"/>
        <rFont val="Arial"/>
        <family val="2"/>
      </rPr>
      <t xml:space="preserve"> Committed sources are programmed capital funds that </t>
    </r>
    <r>
      <rPr>
        <b/>
        <u/>
        <sz val="10"/>
        <rFont val="Arial"/>
        <family val="2"/>
      </rPr>
      <t>have all the necessary approvals</t>
    </r>
    <r>
      <rPr>
        <sz val="10"/>
        <rFont val="Arial"/>
        <family val="2"/>
      </rPr>
      <t xml:space="preserve"> to be used to fund the proposed project </t>
    </r>
    <r>
      <rPr>
        <b/>
        <u/>
        <sz val="10"/>
        <rFont val="Arial"/>
        <family val="2"/>
      </rPr>
      <t>without any additional action</t>
    </r>
    <r>
      <rPr>
        <sz val="10"/>
        <rFont val="Arial"/>
        <family val="2"/>
      </rPr>
      <t>.  These funds have all legislative and/or voter approvals needed, and been formally programmed in the MPO’s TIP and/or any related local, regional, or state documents such as an approved annual budget or multi-year CIP.  Examples include dedicated or approved tax revenues, state capital grants that have been approved by all required legislative bodies, cash reserves that have been dedicated to the proposed project, and debt capacity that requires no further approvals and has been dedicated to the proposed project.</t>
    </r>
  </si>
  <si>
    <r>
      <t>Budgeted:</t>
    </r>
    <r>
      <rPr>
        <sz val="10"/>
        <rFont val="Arial"/>
        <family val="2"/>
      </rPr>
      <t xml:space="preserve"> This category is for funds that have been budgeted and/or programmed for use on the proposed project but are not yet fully committed, i.e., the funds have not yet received statutory approval.  Examples include debt financing in an agency-adopted CIP that has yet to receive final legislative approval, or state capital grants that have been included in the state budget, but are still awaiting final legislative appropriations.  These funds are almost certain to be committed in the near future.  Funds will be classified as budgeted where available funding cannot be committed until the FFGA is executed, or due to local practices outside of the project sponsor’s control (e.g., the project development schedule extends beyond the TIP or CIP period).</t>
    </r>
  </si>
  <si>
    <r>
      <t>Planned:</t>
    </r>
    <r>
      <rPr>
        <sz val="10"/>
        <rFont val="Arial"/>
        <family val="2"/>
      </rPr>
      <t xml:space="preserve"> This category is for funds that are identified and have a reasonable chance of being committed, but are neither committed nor budgeted.  Examples include proposed sources that require a scheduled referendum, reasonable requests for state/local capital grants that are not yet approved, and proposed debt financing that has not yet been fully approved.</t>
    </r>
  </si>
  <si>
    <r>
      <rPr>
        <b/>
        <sz val="10"/>
        <rFont val="Arial"/>
        <family val="2"/>
      </rPr>
      <t>Uncertain:</t>
    </r>
    <r>
      <rPr>
        <sz val="10"/>
        <rFont val="Arial"/>
        <family val="2"/>
      </rPr>
      <t xml:space="preserve"> This category is applied when it is unclear from the agency’s submission whether or not a funding source is committed, budgeted, or unavailable.  Instances where the plan to secure committed funds is deemed to be unreasonable may be classified as uncertain.  This category applies to funding sources that the project sponsor may describe as committed or budgeted but for which no supporting documentation is provided to FTA.  Also, funding proposals that have repeatedly failed (more than once), such as failed local referendums or repeated denial of state grants, will be classified as uncertain.</t>
    </r>
  </si>
  <si>
    <r>
      <t xml:space="preserve">Unspecified: </t>
    </r>
    <r>
      <rPr>
        <sz val="10"/>
        <rFont val="Arial"/>
        <family val="2"/>
      </rPr>
      <t xml:space="preserve"> This category is applied when the proposed non-CIG funding sources are not sufficient or have not been clearly identified.</t>
    </r>
  </si>
  <si>
    <t>NEW STARTS FINANCE TEMPLATE (Section 4)</t>
  </si>
  <si>
    <t>Innovative Financing Methods</t>
  </si>
  <si>
    <t>(Unconventional funding/financing arrangements such as USDOT credit instruments (RRIF/TIFIA loans, PABs), State Infrastructure Banks, Public/Private partnerships, Toll Credits, Joint Development revenues, etc.)</t>
  </si>
  <si>
    <t xml:space="preserve">Innovative Funding Source </t>
  </si>
  <si>
    <t>Anticipated Funding Amount ($)</t>
  </si>
  <si>
    <t>Name of entity with final approving authority</t>
  </si>
  <si>
    <t>Describe all actions needed to make the funds available to the project</t>
  </si>
  <si>
    <t>Identify and Describe Supporting Documentation Submitted</t>
  </si>
  <si>
    <t>Summary Information from the Operating Finance Plan</t>
  </si>
  <si>
    <t>New Starts Project Annual Operating Cost in the Opening Year (YOE$):</t>
  </si>
  <si>
    <t>Total Transit System (including New Starts Project) Annual Operating Cost in the Opening Year (YOE$)</t>
  </si>
  <si>
    <r>
      <t xml:space="preserve">Proposed Sources of Operating Funds </t>
    </r>
    <r>
      <rPr>
        <sz val="10"/>
        <rFont val="Arial"/>
        <family val="2"/>
      </rPr>
      <t>(Proposed sources of operating funds that are anticipated to support operating expenses of the transit system including the New Starts project in the opening year.)</t>
    </r>
  </si>
  <si>
    <t>Dollar Amount ($)</t>
  </si>
  <si>
    <t>Type of Funding Source</t>
  </si>
  <si>
    <t>Committed, Budgeted or Planned</t>
  </si>
  <si>
    <t>Specify Whether New or Existing Funding Source</t>
  </si>
  <si>
    <t>Farebox Revenues</t>
  </si>
  <si>
    <t>(Example: State Revenue Source A)</t>
  </si>
  <si>
    <t>(Example: State Revenue Source B)</t>
  </si>
  <si>
    <t>(Example: State Revenue Source C)</t>
  </si>
  <si>
    <t>(Example: Local Revenue Source A)</t>
  </si>
  <si>
    <t>(Example: Local Revenue Source B)</t>
  </si>
  <si>
    <t>(Example: Local Revenue Source C)</t>
  </si>
  <si>
    <t>(Example: Private/Value Capture Funding Source)</t>
  </si>
  <si>
    <t>Other</t>
  </si>
  <si>
    <t>Total</t>
  </si>
  <si>
    <t>Transit System Operating Characteristics</t>
  </si>
  <si>
    <t xml:space="preserve">Current Systemwide Characteristics </t>
  </si>
  <si>
    <t xml:space="preserve"> Number/Value</t>
  </si>
  <si>
    <r>
      <t xml:space="preserve">Future Transit System with New Starts Project </t>
    </r>
    <r>
      <rPr>
        <sz val="10"/>
        <rFont val="Arial"/>
        <family val="2"/>
      </rPr>
      <t>(Systemwide characteristics at completion of the New Starts Project)</t>
    </r>
  </si>
  <si>
    <t>Number/Value</t>
  </si>
  <si>
    <t>(Can be the same data as reported to the FTA for the National Transit Database)</t>
  </si>
  <si>
    <t>Farebox Recovery Percent</t>
  </si>
  <si>
    <t>Number of Buses</t>
  </si>
  <si>
    <t xml:space="preserve">Number of Rail Vehicles </t>
  </si>
  <si>
    <t>Number of Rail Vehicles</t>
  </si>
  <si>
    <t>Average Fare</t>
  </si>
  <si>
    <t>Average Age of Buses</t>
  </si>
  <si>
    <t>Average Age of Rail Vehicles</t>
  </si>
  <si>
    <t>Revenue Miles of Service Provided</t>
  </si>
  <si>
    <t xml:space="preserve">Revenue Miles of Service </t>
  </si>
  <si>
    <t>Revenue Hours of Service Provided</t>
  </si>
  <si>
    <t xml:space="preserve">Revenue Hours of Service </t>
  </si>
  <si>
    <t>NEW STARTS RATING ESTIMATION</t>
  </si>
  <si>
    <t>Use this tool to calculate your New Starts project's potential overall rating.  Enter a value from the drop down menu in each of the yellow cells based on the ratings you anticipate. *</t>
  </si>
  <si>
    <t>Project Justification</t>
  </si>
  <si>
    <t>Local Financial Commitment</t>
  </si>
  <si>
    <t>Criterion</t>
  </si>
  <si>
    <t>Weight</t>
  </si>
  <si>
    <t>Estimated Rating</t>
  </si>
  <si>
    <t>numeric</t>
  </si>
  <si>
    <t>Mobility, Cost-Effectiveness, and Congestion Relief Templates</t>
  </si>
  <si>
    <t>Current Financial Condition</t>
  </si>
  <si>
    <t>Enter your estimations of these ratings.  See the Local Financial Commitment section in the New Starts chapter of the CIG Program Final Interim Policy Guidance for information on how FTA rates these factors.</t>
  </si>
  <si>
    <t>Commitment of Capital and Operating Funds</t>
  </si>
  <si>
    <t>Reasonableness of Financial Plan</t>
  </si>
  <si>
    <t>Environmental Benefits Template</t>
  </si>
  <si>
    <t>Finance Template</t>
  </si>
  <si>
    <t>Land Use</t>
  </si>
  <si>
    <t>Enter your estimations of these ratings.  See FTA's Guidelines for Land Use and Economic Development Effects on how FTA determines the ratings for these criteria.</t>
  </si>
  <si>
    <t>Summary Rating</t>
  </si>
  <si>
    <t>Ratings are assigned to each subfactor on a five-point scale, with Low = 1, Medium-Low = 2, Medium = 3, Medium-High = 4, and High = 5.  Individual subfactor ratings are then weighted as shown to develop the summary Local Financial Commitment rating.  If the summary rating is at least Medium and the CIG share is less than 50%, the summary rating is increased one level.</t>
  </si>
  <si>
    <t>Economic Development</t>
  </si>
  <si>
    <t>Ratings are assigned to each criterion on a five-point scale, with Low = 1, Medium-Low =2, Medium = 3, Medium-High = 4, and High = 5.  Individual criterion ratings are then weighted 16.66% each to develop the summary Project Justification rating.</t>
  </si>
  <si>
    <r>
      <t xml:space="preserve">Estimated Overall Project Rating:
</t>
    </r>
    <r>
      <rPr>
        <b/>
        <sz val="11"/>
        <rFont val="Arial"/>
        <family val="2"/>
      </rPr>
      <t>(The Project Justification and Local Financial Commitment summary ratings are each weighted equally at 50%.  However, both must be at least Medium to obtain a Medium or better overall rating.)</t>
    </r>
  </si>
  <si>
    <t>Link to CIG Program Guidance on the FTA Website</t>
  </si>
  <si>
    <t>* FTA is providing this tool to help project sponsors understand how their projects might rate.  Any anticipated ratings entered into this spreadsheet will not be used by FTA to inform the ratings that FTA assigns.  All ratings automatically computed in the templates are subject to verification by FTA.  FTA has sole responsibility for assigning project ratings according to the evaluation and rating framework described in the Capital Investment Grants Program Final Interim Policy Guidance.</t>
  </si>
  <si>
    <t>Travel Forecasts for Evaluation Template, Line 7a + 2 * Line 7b</t>
  </si>
  <si>
    <t>Travel Forecasts for Evaluation Template, Line 8a</t>
  </si>
  <si>
    <t>Travel Forecasts for Evaluation Template, Line 9</t>
  </si>
  <si>
    <t>Boosting</t>
  </si>
  <si>
    <t>None</t>
  </si>
  <si>
    <t>NEW STARTS PROJECT DESCRIPTION TEMPLATE</t>
  </si>
  <si>
    <t>NEW STARTS TRAVEL FORECASTS TEMPLATE</t>
  </si>
  <si>
    <t>[2] See Appendix D of the Reporting Instructions for a sample methodology for estimating station area population, households, and employment.</t>
  </si>
  <si>
    <r>
      <t xml:space="preserve">Total Capital Cost of Project in Constant 2024 Dollars
</t>
    </r>
    <r>
      <rPr>
        <sz val="10"/>
        <rFont val="Arial"/>
        <family val="2"/>
      </rPr>
      <t>(from the SCC Main Worksheet)</t>
    </r>
  </si>
  <si>
    <t>Annualized project capital cost excluding enrichments (constant 2024 dollars)</t>
  </si>
  <si>
    <t>Annual project operating and maintenance costs (constant 2024 dollars)</t>
  </si>
  <si>
    <t>Annualized project capital and operating cost excluding enrichments (constant 2024 dollars)</t>
  </si>
  <si>
    <t>2024 constant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</si>
</sst>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
    <numFmt numFmtId="168" formatCode="&quot;$&quot;#,##0"/>
    <numFmt numFmtId="169" formatCode="0.0%"/>
    <numFmt numFmtId="170" formatCode="&quot;$&quot;#,##0.00"/>
    <numFmt numFmtId="171" formatCode="#,##0.0000"/>
    <numFmt numFmtId="172" formatCode="0_)"/>
    <numFmt numFmtId="173" formatCode="_(* #,##0.0_);_(* \(#,##0.0\);_(* &quot;-&quot;??_);_(@_)"/>
    <numFmt numFmtId="174" formatCode="#,##0_)"/>
    <numFmt numFmtId="175" formatCode="###0.00_)"/>
    <numFmt numFmtId="176" formatCode="0.0_W"/>
    <numFmt numFmtId="177" formatCode="#,##0.00000_);[Red]\(#,##0.00000\)"/>
    <numFmt numFmtId="178" formatCode="#,##0.00000_);\(#,##0.00000\)"/>
    <numFmt numFmtId="179" formatCode="0.000000"/>
    <numFmt numFmtId="180" formatCode="0.00000"/>
    <numFmt numFmtId="181" formatCode="0.000000000"/>
    <numFmt numFmtId="182" formatCode="[$-409]mmm\-yy;@"/>
    <numFmt numFmtId="183" formatCode="0.000"/>
    <numFmt numFmtId="184" formatCode="_([$€-2]* #,##0.00_);_([$€-2]* \(#,##0.00\);_([$€-2]* &quot;-&quot;??_)"/>
    <numFmt numFmtId="185" formatCode="#,##0\ "/>
    <numFmt numFmtId="186" formatCode="&quot;L.&quot;\ #,##0_);[Red]\(&quot;L.&quot;\ #,##0\)"/>
    <numFmt numFmtId="187" formatCode="#,##0_);\(#,##0\);&quot;-  &quot;;&quot; &quot;@"/>
    <numFmt numFmtId="188" formatCode="&quot;L.&quot;\ #,##0.00_);[Red]\(&quot;L.&quot;\ #,##0.00\)"/>
    <numFmt numFmtId="189" formatCode="#,##0.00\ &quot;Lps&quot;;[Red]\-#,##0.00\ &quot;Lps&quot;"/>
    <numFmt numFmtId="190" formatCode="[$$-409]#,##0.00_);\([$$-409]#,##0.00\)"/>
    <numFmt numFmtId="191" formatCode="dd\ mmm\ yyyy_);;&quot;-  &quot;;&quot; &quot;@"/>
    <numFmt numFmtId="192" formatCode="dd/mmm/yyyy_);;&quot;-  &quot;;&quot; &quot;@"/>
    <numFmt numFmtId="193" formatCode="dd\ mmm\ yy_);;&quot;-  &quot;;&quot; &quot;@"/>
    <numFmt numFmtId="194" formatCode="dd/mmm/yy_);;&quot;-  &quot;;&quot; &quot;@"/>
    <numFmt numFmtId="195" formatCode="_ * #,##0.00_ ;_ * \-#,##0.00_ ;_ * &quot;-&quot;??_ ;_ @_ "/>
    <numFmt numFmtId="196" formatCode="#,##0.0000_);\(#,##0.0000\);&quot;-  &quot;;&quot; &quot;@"/>
    <numFmt numFmtId="197" formatCode="#,##0_-;\(#,##0\)"/>
    <numFmt numFmtId="198" formatCode="#."/>
    <numFmt numFmtId="199" formatCode="dd/mmm/yy"/>
    <numFmt numFmtId="200" formatCode="#\ ###\ ###\ ###\ ##0.00"/>
    <numFmt numFmtId="201" formatCode="0.000%"/>
    <numFmt numFmtId="202" formatCode="0.0000"/>
    <numFmt numFmtId="203" formatCode="&quot;YEAR&quot;\ 0"/>
    <numFmt numFmtId="204" formatCode="_-* #,##0.00,,\ _-;\(#,##0.00,,\)_-;_-* &quot;-&quot;??_-;_-@_-"/>
    <numFmt numFmtId="205" formatCode="_-* #,##0,,\ _-;\(#,##0,,\)_-;_-* &quot;-&quot;??_-;_-@_-"/>
    <numFmt numFmtId="206" formatCode="dd/mmm"/>
    <numFmt numFmtId="207" formatCode="0.00%_);\-0.00%_);&quot;-  &quot;;&quot; &quot;@"/>
  </numFmts>
  <fonts count="124">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12"/>
      <name val="Arial"/>
      <family val="2"/>
    </font>
    <font>
      <sz val="12"/>
      <name val="Arial"/>
      <family val="2"/>
    </font>
    <font>
      <b/>
      <sz val="14"/>
      <name val="Arial"/>
      <family val="2"/>
    </font>
    <font>
      <b/>
      <sz val="18"/>
      <name val="Arial"/>
      <family val="2"/>
    </font>
    <font>
      <sz val="10"/>
      <name val="Arial"/>
      <family val="2"/>
    </font>
    <font>
      <b/>
      <sz val="10"/>
      <name val="Arial"/>
      <family val="2"/>
    </font>
    <font>
      <sz val="10"/>
      <name val="Arial"/>
      <family val="2"/>
    </font>
    <font>
      <b/>
      <i/>
      <sz val="10"/>
      <name val="Arial"/>
      <family val="2"/>
    </font>
    <font>
      <b/>
      <u/>
      <sz val="10"/>
      <name val="Arial"/>
      <family val="2"/>
    </font>
    <font>
      <sz val="10"/>
      <color indexed="8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9"/>
      <name val="Times New Roman"/>
      <family val="1"/>
    </font>
    <font>
      <sz val="11"/>
      <color indexed="9"/>
      <name val="Calibri"/>
      <family val="2"/>
    </font>
    <font>
      <sz val="11"/>
      <color indexed="20"/>
      <name val="Calibri"/>
      <family val="2"/>
    </font>
    <font>
      <b/>
      <sz val="9"/>
      <name val="Times New Roman"/>
      <family val="1"/>
    </font>
    <font>
      <b/>
      <sz val="11"/>
      <color indexed="52"/>
      <name val="Calibri"/>
      <family val="2"/>
    </font>
    <font>
      <b/>
      <sz val="11"/>
      <color indexed="9"/>
      <name val="Calibri"/>
      <family val="2"/>
    </font>
    <font>
      <sz val="10"/>
      <name val="Verdan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name val="Times New Roman"/>
      <family val="1"/>
    </font>
    <font>
      <u/>
      <sz val="10"/>
      <color indexed="12"/>
      <name val="Arial"/>
      <family val="2"/>
    </font>
    <font>
      <sz val="11"/>
      <color indexed="62"/>
      <name val="Calibri"/>
      <family val="2"/>
    </font>
    <font>
      <sz val="11"/>
      <color indexed="52"/>
      <name val="Calibri"/>
      <family val="2"/>
    </font>
    <font>
      <sz val="11"/>
      <color indexed="60"/>
      <name val="Calibri"/>
      <family val="2"/>
    </font>
    <font>
      <sz val="10"/>
      <color indexed="8"/>
      <name val="Times New Roman"/>
      <family val="1"/>
    </font>
    <font>
      <sz val="8"/>
      <name val="Helv"/>
    </font>
    <font>
      <b/>
      <sz val="11"/>
      <color indexed="63"/>
      <name val="Calibri"/>
      <family val="2"/>
    </font>
    <font>
      <sz val="10"/>
      <name val="Helv"/>
      <family val="2"/>
    </font>
    <font>
      <b/>
      <sz val="18"/>
      <color indexed="56"/>
      <name val="Cambria"/>
      <family val="1"/>
    </font>
    <font>
      <b/>
      <sz val="11"/>
      <color indexed="8"/>
      <name val="Calibri"/>
      <family val="2"/>
    </font>
    <font>
      <sz val="11"/>
      <color indexed="10"/>
      <name val="Calibri"/>
      <family val="2"/>
    </font>
    <font>
      <sz val="12"/>
      <name val="Helv"/>
    </font>
    <font>
      <b/>
      <sz val="12"/>
      <name val="Helv"/>
    </font>
    <font>
      <sz val="9"/>
      <name val="Helv"/>
    </font>
    <font>
      <vertAlign val="superscript"/>
      <sz val="12"/>
      <name val="Helv"/>
    </font>
    <font>
      <sz val="10"/>
      <name val="Helv"/>
    </font>
    <font>
      <b/>
      <sz val="9"/>
      <name val="Helv"/>
    </font>
    <font>
      <sz val="8.5"/>
      <name val="Helv"/>
    </font>
    <font>
      <b/>
      <sz val="10"/>
      <name val="Helv"/>
    </font>
    <font>
      <b/>
      <sz val="14"/>
      <name val="Helv"/>
    </font>
    <font>
      <sz val="10"/>
      <color theme="1"/>
      <name val="Arial"/>
      <family val="2"/>
    </font>
    <font>
      <u/>
      <sz val="8"/>
      <color theme="10"/>
      <name val="Arial"/>
      <family val="2"/>
    </font>
    <font>
      <b/>
      <sz val="10"/>
      <name val="Calibri"/>
      <family val="2"/>
      <scheme val="minor"/>
    </font>
    <font>
      <sz val="10"/>
      <name val="Calibri"/>
      <family val="2"/>
      <scheme val="minor"/>
    </font>
    <font>
      <b/>
      <sz val="10"/>
      <color theme="1"/>
      <name val="Arial"/>
      <family val="2"/>
    </font>
    <font>
      <b/>
      <sz val="12"/>
      <color theme="1"/>
      <name val="Arial"/>
      <family val="2"/>
    </font>
    <font>
      <b/>
      <sz val="12"/>
      <name val="Calibri"/>
      <family val="2"/>
      <scheme val="minor"/>
    </font>
    <font>
      <b/>
      <vertAlign val="subscript"/>
      <sz val="12"/>
      <name val="Arial"/>
      <family val="2"/>
    </font>
    <font>
      <b/>
      <sz val="11"/>
      <name val="Calibri"/>
      <family val="2"/>
      <scheme val="minor"/>
    </font>
    <font>
      <sz val="11"/>
      <name val="Calibri"/>
      <family val="2"/>
      <scheme val="minor"/>
    </font>
    <font>
      <b/>
      <u/>
      <sz val="11"/>
      <color theme="10"/>
      <name val="Calibri"/>
      <family val="2"/>
      <scheme val="minor"/>
    </font>
    <font>
      <b/>
      <vertAlign val="subscript"/>
      <sz val="11"/>
      <name val="Calibri"/>
      <family val="2"/>
      <scheme val="minor"/>
    </font>
    <font>
      <b/>
      <sz val="12"/>
      <color theme="0"/>
      <name val="Arial"/>
      <family val="2"/>
    </font>
    <font>
      <sz val="9"/>
      <color indexed="81"/>
      <name val="Tahoma"/>
      <family val="2"/>
    </font>
    <font>
      <b/>
      <sz val="8"/>
      <color rgb="FFFF0000"/>
      <name val="Arial"/>
      <family val="2"/>
    </font>
    <font>
      <b/>
      <sz val="12"/>
      <name val="Tms Rmn"/>
    </font>
    <font>
      <sz val="11"/>
      <name val="Arial"/>
      <family val="2"/>
    </font>
    <font>
      <sz val="11"/>
      <color indexed="29"/>
      <name val="Calibri"/>
      <family val="2"/>
    </font>
    <font>
      <sz val="10"/>
      <color indexed="8"/>
      <name val="Arial"/>
      <family val="2"/>
    </font>
    <font>
      <sz val="8"/>
      <color indexed="12"/>
      <name val="Tms Rmn"/>
    </font>
    <font>
      <b/>
      <sz val="12"/>
      <color theme="0"/>
      <name val="Calibri"/>
      <family val="2"/>
    </font>
    <font>
      <b/>
      <i/>
      <sz val="9"/>
      <name val="Arial"/>
      <family val="2"/>
    </font>
    <font>
      <b/>
      <sz val="11"/>
      <color indexed="10"/>
      <name val="Calibri"/>
      <family val="2"/>
      <scheme val="minor"/>
    </font>
    <font>
      <b/>
      <i/>
      <sz val="8"/>
      <name val="Arial"/>
      <family val="2"/>
    </font>
    <font>
      <b/>
      <sz val="8"/>
      <name val="Book Antiqua"/>
      <family val="1"/>
    </font>
    <font>
      <sz val="10"/>
      <name val="Geneva"/>
      <family val="2"/>
    </font>
    <font>
      <sz val="8"/>
      <name val="Palatino"/>
      <family val="1"/>
    </font>
    <font>
      <sz val="12"/>
      <color indexed="8"/>
      <name val="CG Times"/>
      <family val="1"/>
    </font>
    <font>
      <sz val="11"/>
      <color indexed="12"/>
      <name val="Book Antiqua"/>
      <family val="1"/>
    </font>
    <font>
      <sz val="12"/>
      <name val="David"/>
      <family val="2"/>
      <charset val="177"/>
    </font>
    <font>
      <sz val="10"/>
      <color indexed="8"/>
      <name val="Sans Serif 12cpi"/>
    </font>
    <font>
      <sz val="10"/>
      <color indexed="8"/>
      <name val="Sans Serif 17cpi"/>
    </font>
    <font>
      <sz val="7"/>
      <name val="Palatino"/>
      <family val="1"/>
    </font>
    <font>
      <b/>
      <sz val="10"/>
      <name val="Arial (W1)"/>
    </font>
    <font>
      <sz val="6"/>
      <color indexed="16"/>
      <name val="Palatino"/>
      <family val="1"/>
    </font>
    <font>
      <sz val="8"/>
      <color indexed="25"/>
      <name val="Helvetica Black"/>
    </font>
    <font>
      <b/>
      <sz val="18"/>
      <color indexed="8"/>
      <name val="Arial"/>
      <family val="2"/>
    </font>
    <font>
      <b/>
      <sz val="15"/>
      <color indexed="62"/>
      <name val="Calibri"/>
      <family val="2"/>
    </font>
    <font>
      <b/>
      <sz val="12"/>
      <color indexed="8"/>
      <name val="Arial"/>
      <family val="2"/>
    </font>
    <font>
      <b/>
      <sz val="13"/>
      <color indexed="62"/>
      <name val="Calibri"/>
      <family val="2"/>
    </font>
    <font>
      <i/>
      <sz val="14"/>
      <name val="Palatino"/>
      <family val="1"/>
    </font>
    <font>
      <b/>
      <sz val="11"/>
      <color indexed="62"/>
      <name val="Calibri"/>
      <family val="2"/>
    </font>
    <font>
      <b/>
      <sz val="1"/>
      <color indexed="8"/>
      <name val="Courier"/>
      <family val="3"/>
    </font>
    <font>
      <b/>
      <sz val="16"/>
      <color indexed="9"/>
      <name val="Arial"/>
      <family val="2"/>
    </font>
    <font>
      <b/>
      <i/>
      <sz val="12"/>
      <color indexed="9"/>
      <name val="Arial"/>
      <family val="2"/>
    </font>
    <font>
      <b/>
      <sz val="11"/>
      <color indexed="9"/>
      <name val="Arial"/>
      <family val="2"/>
    </font>
    <font>
      <u/>
      <sz val="8"/>
      <color indexed="12"/>
      <name val="Arial"/>
      <family val="2"/>
    </font>
    <font>
      <sz val="12"/>
      <name val="Calibri"/>
      <family val="2"/>
    </font>
    <font>
      <b/>
      <sz val="14"/>
      <color theme="0"/>
      <name val="Calibri"/>
      <family val="2"/>
    </font>
    <font>
      <b/>
      <sz val="11.5"/>
      <color theme="1"/>
      <name val="Arial"/>
      <family val="2"/>
    </font>
    <font>
      <b/>
      <sz val="16"/>
      <name val="Arial"/>
      <family val="2"/>
    </font>
    <font>
      <b/>
      <sz val="11"/>
      <name val="Arial"/>
      <family val="2"/>
    </font>
    <font>
      <b/>
      <u/>
      <sz val="12"/>
      <color theme="10"/>
      <name val="Arial"/>
      <family val="2"/>
    </font>
    <font>
      <sz val="14"/>
      <name val="Arial"/>
      <family val="2"/>
    </font>
    <font>
      <b/>
      <sz val="12"/>
      <color rgb="FFFF0000"/>
      <name val="Arial"/>
      <family val="2"/>
    </font>
    <font>
      <b/>
      <sz val="8"/>
      <name val="Arial"/>
      <family val="2"/>
    </font>
    <font>
      <b/>
      <sz val="10"/>
      <color rgb="FFFF0000"/>
      <name val="Arial"/>
      <family val="2"/>
    </font>
  </fonts>
  <fills count="8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64"/>
      </patternFill>
    </fill>
    <fill>
      <patternFill patternType="solid">
        <fgColor indexed="26"/>
      </patternFill>
    </fill>
    <fill>
      <patternFill patternType="darkTrellis"/>
    </fill>
    <fill>
      <patternFill patternType="solid">
        <fgColor indexed="22"/>
        <bgColor indexed="9"/>
      </patternFill>
    </fill>
    <fill>
      <patternFill patternType="solid">
        <fgColor indexed="22"/>
        <bgColor indexed="55"/>
      </patternFill>
    </fill>
    <fill>
      <patternFill patternType="solid">
        <fgColor theme="1"/>
        <bgColor indexed="64"/>
      </patternFill>
    </fill>
    <fill>
      <patternFill patternType="solid">
        <fgColor theme="0"/>
        <bgColor indexed="64"/>
      </patternFill>
    </fill>
    <fill>
      <patternFill patternType="solid">
        <fgColor rgb="FFEAEAEA"/>
        <bgColor indexed="64"/>
      </patternFill>
    </fill>
    <fill>
      <patternFill patternType="solid">
        <fgColor indexed="9"/>
      </patternFill>
    </fill>
    <fill>
      <patternFill patternType="solid">
        <fgColor indexed="41"/>
      </patternFill>
    </fill>
    <fill>
      <patternFill patternType="solid">
        <fgColor indexed="34"/>
      </patternFill>
    </fill>
    <fill>
      <patternFill patternType="solid">
        <fgColor indexed="35"/>
      </patternFill>
    </fill>
    <fill>
      <patternFill patternType="solid">
        <fgColor indexed="25"/>
      </patternFill>
    </fill>
    <fill>
      <patternFill patternType="solid">
        <fgColor indexed="56"/>
      </patternFill>
    </fill>
    <fill>
      <patternFill patternType="solid">
        <fgColor indexed="33"/>
      </patternFill>
    </fill>
    <fill>
      <patternFill patternType="solid">
        <fgColor indexed="54"/>
      </patternFill>
    </fill>
    <fill>
      <patternFill patternType="solid">
        <fgColor indexed="41"/>
        <bgColor indexed="64"/>
      </patternFill>
    </fill>
    <fill>
      <patternFill patternType="solid">
        <fgColor indexed="56"/>
        <bgColor indexed="64"/>
      </patternFill>
    </fill>
    <fill>
      <patternFill patternType="solid">
        <fgColor indexed="51"/>
        <bgColor indexed="64"/>
      </patternFill>
    </fill>
    <fill>
      <patternFill patternType="solid">
        <fgColor indexed="43"/>
        <bgColor indexed="64"/>
      </patternFill>
    </fill>
    <fill>
      <patternFill patternType="solid">
        <fgColor indexed="46"/>
        <bgColor indexed="64"/>
      </patternFill>
    </fill>
    <fill>
      <patternFill patternType="solid">
        <fgColor indexed="10"/>
        <bgColor indexed="64"/>
      </patternFill>
    </fill>
    <fill>
      <gradientFill degree="270">
        <stop position="0">
          <color rgb="FF760000"/>
        </stop>
        <stop position="1">
          <color rgb="FFD60000"/>
        </stop>
      </gradientFill>
    </fill>
    <fill>
      <patternFill patternType="solid">
        <fgColor indexed="44"/>
        <bgColor indexed="64"/>
      </patternFill>
    </fill>
    <fill>
      <gradientFill degree="90">
        <stop position="0">
          <color theme="6" tint="0.80001220740379042"/>
        </stop>
        <stop position="1">
          <color theme="6" tint="0.40000610370189521"/>
        </stop>
      </gradientFill>
    </fill>
    <fill>
      <gradientFill degree="90">
        <stop position="0">
          <color theme="3" tint="0.80001220740379042"/>
        </stop>
        <stop position="1">
          <color theme="3" tint="0.59999389629810485"/>
        </stop>
      </gradientFill>
    </fill>
    <fill>
      <patternFill patternType="solid">
        <fgColor rgb="FFDF5B5B"/>
        <bgColor indexed="64"/>
      </patternFill>
    </fill>
    <fill>
      <patternFill patternType="solid">
        <fgColor rgb="FFFFFF66"/>
        <bgColor indexed="64"/>
      </patternFill>
    </fill>
    <fill>
      <patternFill patternType="solid">
        <fgColor theme="0" tint="-4.9989318521683403E-2"/>
        <bgColor indexed="64"/>
      </patternFill>
    </fill>
  </fills>
  <borders count="182">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22"/>
      </bottom>
      <diagonal/>
    </border>
    <border>
      <left/>
      <right/>
      <top/>
      <bottom style="hair">
        <color indexed="8"/>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auto="1"/>
      </left>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auto="1"/>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top style="hair">
        <color indexed="64"/>
      </top>
      <bottom style="hair">
        <color indexed="64"/>
      </bottom>
      <diagonal/>
    </border>
    <border>
      <left/>
      <right/>
      <top style="medium">
        <color indexed="64"/>
      </top>
      <bottom style="hair">
        <color indexed="64"/>
      </bottom>
      <diagonal/>
    </border>
    <border>
      <left/>
      <right style="thin">
        <color indexed="8"/>
      </right>
      <top style="thin">
        <color indexed="8"/>
      </top>
      <bottom/>
      <diagonal/>
    </border>
    <border>
      <left/>
      <right/>
      <top/>
      <bottom style="dotted">
        <color indexed="64"/>
      </bottom>
      <diagonal/>
    </border>
    <border>
      <left style="double">
        <color indexed="64"/>
      </left>
      <right style="medium">
        <color indexed="64"/>
      </right>
      <top style="medium">
        <color indexed="64"/>
      </top>
      <bottom/>
      <diagonal/>
    </border>
    <border>
      <left/>
      <right/>
      <top/>
      <bottom style="medium">
        <color indexed="45"/>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57"/>
      </left>
      <right style="double">
        <color indexed="57"/>
      </right>
      <top/>
      <bottom/>
      <diagonal/>
    </border>
    <border>
      <left style="double">
        <color indexed="64"/>
      </left>
      <right style="double">
        <color indexed="64"/>
      </right>
      <top/>
      <bottom/>
      <diagonal/>
    </border>
    <border>
      <left style="medium">
        <color indexed="10"/>
      </left>
      <right/>
      <top/>
      <bottom/>
      <diagonal/>
    </border>
    <border>
      <left style="thin">
        <color indexed="64"/>
      </left>
      <right style="thin">
        <color indexed="64"/>
      </right>
      <top style="thin">
        <color indexed="64"/>
      </top>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thin">
        <color auto="1"/>
      </right>
      <top style="thin">
        <color auto="1"/>
      </top>
      <bottom/>
      <diagonal/>
    </border>
    <border>
      <left style="dotted">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medium">
        <color indexed="64"/>
      </right>
      <top style="double">
        <color indexed="64"/>
      </top>
      <bottom style="medium">
        <color indexed="64"/>
      </bottom>
      <diagonal/>
    </border>
    <border>
      <left/>
      <right style="thin">
        <color indexed="64"/>
      </right>
      <top/>
      <bottom/>
      <diagonal/>
    </border>
  </borders>
  <cellStyleXfs count="7024">
    <xf numFmtId="0" fontId="0" fillId="0" borderId="0"/>
    <xf numFmtId="43" fontId="4"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4" fontId="4" fillId="0" borderId="0" applyFont="0" applyFill="0" applyBorder="0" applyAlignment="0" applyProtection="0"/>
    <xf numFmtId="0" fontId="5" fillId="0" borderId="0"/>
    <xf numFmtId="0" fontId="16" fillId="0" borderId="0"/>
    <xf numFmtId="9" fontId="4" fillId="0" borderId="0" applyFont="0" applyFill="0" applyBorder="0" applyAlignment="0" applyProtection="0"/>
    <xf numFmtId="9" fontId="5" fillId="0" borderId="0" applyFont="0" applyFill="0" applyBorder="0" applyAlignment="0" applyProtection="0"/>
    <xf numFmtId="0" fontId="17" fillId="0" borderId="0" applyNumberFormat="0" applyFill="0" applyBorder="0" applyAlignment="0" applyProtection="0"/>
    <xf numFmtId="0" fontId="18" fillId="0" borderId="67" applyNumberFormat="0" applyFill="0" applyAlignment="0" applyProtection="0"/>
    <xf numFmtId="0" fontId="19" fillId="0" borderId="68" applyNumberFormat="0" applyFill="0" applyAlignment="0" applyProtection="0"/>
    <xf numFmtId="0" fontId="20" fillId="0" borderId="69"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70" applyNumberFormat="0" applyAlignment="0" applyProtection="0"/>
    <xf numFmtId="0" fontId="25" fillId="11" borderId="71" applyNumberFormat="0" applyAlignment="0" applyProtection="0"/>
    <xf numFmtId="0" fontId="26" fillId="11" borderId="70" applyNumberFormat="0" applyAlignment="0" applyProtection="0"/>
    <xf numFmtId="0" fontId="27" fillId="0" borderId="72" applyNumberFormat="0" applyFill="0" applyAlignment="0" applyProtection="0"/>
    <xf numFmtId="0" fontId="28" fillId="12" borderId="73"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75" applyNumberFormat="0" applyFill="0" applyAlignment="0" applyProtection="0"/>
    <xf numFmtId="0" fontId="3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2" fillId="37" borderId="0" applyNumberFormat="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0" fillId="0" borderId="87"/>
    <xf numFmtId="43" fontId="10" fillId="0" borderId="0" applyFont="0" applyFill="0" applyBorder="0" applyAlignment="0" applyProtection="0"/>
    <xf numFmtId="9" fontId="10" fillId="0" borderId="0" applyFont="0" applyFill="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49" fontId="34" fillId="0" borderId="39" applyNumberFormat="0" applyFont="0" applyFill="0" applyBorder="0" applyProtection="0">
      <alignment horizontal="left" vertical="center" indent="2"/>
    </xf>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49" fontId="34" fillId="0" borderId="2" applyNumberFormat="0" applyFont="0" applyFill="0" applyBorder="0" applyProtection="0">
      <alignment horizontal="left" vertical="center" indent="5"/>
    </xf>
    <xf numFmtId="0" fontId="35" fillId="48"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5" borderId="0" applyNumberFormat="0" applyBorder="0" applyAlignment="0" applyProtection="0"/>
    <xf numFmtId="0" fontId="36" fillId="39" borderId="0" applyNumberFormat="0" applyBorder="0" applyAlignment="0" applyProtection="0"/>
    <xf numFmtId="4" fontId="37" fillId="0" borderId="37" applyFill="0" applyBorder="0" applyProtection="0">
      <alignment horizontal="right" vertical="center"/>
    </xf>
    <xf numFmtId="0" fontId="38" fillId="56" borderId="88" applyNumberFormat="0" applyAlignment="0" applyProtection="0"/>
    <xf numFmtId="0" fontId="39" fillId="57" borderId="89" applyNumberFormat="0" applyAlignment="0" applyProtection="0"/>
    <xf numFmtId="43" fontId="33" fillId="0" borderId="0" applyFont="0" applyFill="0" applyBorder="0" applyAlignment="0" applyProtection="0"/>
    <xf numFmtId="43" fontId="40" fillId="0" borderId="0" applyFont="0" applyFill="0" applyBorder="0" applyAlignment="0" applyProtection="0"/>
    <xf numFmtId="43" fontId="33" fillId="0" borderId="0" applyFont="0" applyFill="0" applyBorder="0" applyAlignment="0" applyProtection="0"/>
    <xf numFmtId="0" fontId="41" fillId="0" borderId="0" applyNumberFormat="0" applyFill="0" applyBorder="0" applyAlignment="0" applyProtection="0"/>
    <xf numFmtId="0" fontId="42" fillId="40" borderId="0" applyNumberFormat="0" applyBorder="0" applyAlignment="0" applyProtection="0"/>
    <xf numFmtId="0" fontId="43" fillId="0" borderId="90" applyNumberFormat="0" applyFill="0" applyAlignment="0" applyProtection="0"/>
    <xf numFmtId="0" fontId="44" fillId="0" borderId="91" applyNumberFormat="0" applyFill="0" applyAlignment="0" applyProtection="0"/>
    <xf numFmtId="0" fontId="45" fillId="0" borderId="92"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43" borderId="88" applyNumberFormat="0" applyAlignment="0" applyProtection="0"/>
    <xf numFmtId="0" fontId="49" fillId="0" borderId="93" applyNumberFormat="0" applyFill="0" applyAlignment="0" applyProtection="0"/>
    <xf numFmtId="0" fontId="50" fillId="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51" fillId="0" borderId="0"/>
    <xf numFmtId="0" fontId="40" fillId="0" borderId="0"/>
    <xf numFmtId="0" fontId="33" fillId="0" borderId="0"/>
    <xf numFmtId="0" fontId="40" fillId="0" borderId="0"/>
    <xf numFmtId="0" fontId="10" fillId="0" borderId="0"/>
    <xf numFmtId="0" fontId="10" fillId="0" borderId="0"/>
    <xf numFmtId="0" fontId="10" fillId="0" borderId="0"/>
    <xf numFmtId="0" fontId="10" fillId="0" borderId="0"/>
    <xf numFmtId="0" fontId="10" fillId="0" borderId="0"/>
    <xf numFmtId="4" fontId="34" fillId="0" borderId="39" applyFill="0" applyBorder="0" applyProtection="0">
      <alignment horizontal="right" vertical="center"/>
    </xf>
    <xf numFmtId="49" fontId="37" fillId="0" borderId="39" applyNumberFormat="0" applyFill="0" applyBorder="0" applyProtection="0">
      <alignment horizontal="left" vertical="center"/>
    </xf>
    <xf numFmtId="0" fontId="34" fillId="0" borderId="39" applyNumberFormat="0" applyFill="0" applyAlignment="0" applyProtection="0"/>
    <xf numFmtId="0" fontId="52" fillId="59" borderId="0" applyNumberFormat="0" applyFont="0" applyBorder="0" applyAlignment="0" applyProtection="0"/>
    <xf numFmtId="0" fontId="10" fillId="60" borderId="94" applyNumberFormat="0" applyFont="0" applyAlignment="0" applyProtection="0"/>
    <xf numFmtId="0" fontId="53" fillId="56" borderId="95" applyNumberFormat="0" applyAlignment="0" applyProtection="0"/>
    <xf numFmtId="171" fontId="34" fillId="61" borderId="39" applyNumberFormat="0" applyFont="0" applyBorder="0" applyAlignment="0" applyProtection="0">
      <alignment horizontal="right" vertical="center"/>
    </xf>
    <xf numFmtId="9" fontId="40" fillId="0" borderId="0" applyFont="0" applyFill="0" applyBorder="0" applyAlignment="0" applyProtection="0"/>
    <xf numFmtId="9" fontId="33" fillId="0" borderId="0" applyFont="0" applyFill="0" applyBorder="0" applyAlignment="0" applyProtection="0"/>
    <xf numFmtId="172" fontId="54" fillId="0" borderId="0"/>
    <xf numFmtId="11" fontId="54" fillId="0" borderId="0" applyFont="0" applyFill="0" applyBorder="0" applyAlignment="0" applyProtection="0"/>
    <xf numFmtId="0" fontId="55" fillId="0" borderId="0" applyNumberFormat="0" applyFill="0" applyBorder="0" applyAlignment="0" applyProtection="0"/>
    <xf numFmtId="0" fontId="56" fillId="0" borderId="96" applyNumberFormat="0" applyFill="0" applyAlignment="0" applyProtection="0"/>
    <xf numFmtId="0" fontId="57" fillId="0" borderId="0" applyNumberFormat="0" applyFill="0" applyBorder="0" applyAlignment="0" applyProtection="0"/>
    <xf numFmtId="0" fontId="3" fillId="13" borderId="74" applyNumberFormat="0" applyFont="0" applyAlignment="0" applyProtection="0"/>
    <xf numFmtId="0" fontId="10" fillId="0" borderId="0"/>
    <xf numFmtId="169" fontId="10" fillId="0" borderId="0" applyFont="0" applyFill="0" applyBorder="0" applyAlignment="0" applyProtection="0"/>
    <xf numFmtId="0" fontId="10" fillId="0" borderId="0"/>
    <xf numFmtId="169" fontId="10" fillId="0" borderId="0" applyFont="0" applyFill="0" applyBorder="0" applyAlignment="0" applyProtection="0"/>
    <xf numFmtId="0" fontId="3" fillId="0" borderId="0"/>
    <xf numFmtId="43" fontId="3" fillId="0" borderId="0" applyFont="0" applyFill="0" applyBorder="0" applyAlignment="0" applyProtection="0"/>
    <xf numFmtId="0" fontId="58" fillId="0" borderId="0">
      <alignment horizontal="center" vertical="center" wrapText="1"/>
    </xf>
    <xf numFmtId="3" fontId="10" fillId="0" borderId="0" applyFont="0" applyFill="0" applyBorder="0" applyAlignment="0" applyProtection="0"/>
    <xf numFmtId="0" fontId="59" fillId="0" borderId="0">
      <alignment horizontal="left" vertical="center" wrapText="1"/>
    </xf>
    <xf numFmtId="173" fontId="10" fillId="0" borderId="0" applyFont="0" applyFill="0" applyBorder="0" applyAlignment="0" applyProtection="0"/>
    <xf numFmtId="3" fontId="60" fillId="0" borderId="97" applyAlignment="0">
      <alignment horizontal="right" vertical="center"/>
    </xf>
    <xf numFmtId="174" fontId="60" fillId="0" borderId="97">
      <alignment horizontal="right" vertical="center"/>
    </xf>
    <xf numFmtId="49" fontId="61" fillId="0" borderId="97">
      <alignment horizontal="left" vertical="center"/>
    </xf>
    <xf numFmtId="175" fontId="62" fillId="0" borderId="97" applyNumberFormat="0" applyFill="0">
      <alignment horizontal="right"/>
    </xf>
    <xf numFmtId="176" fontId="62" fillId="0" borderId="97">
      <alignment horizontal="right"/>
    </xf>
    <xf numFmtId="0" fontId="10" fillId="0" borderId="0" applyFont="0" applyFill="0" applyBorder="0" applyAlignment="0" applyProtection="0"/>
    <xf numFmtId="2" fontId="10" fillId="0" borderId="0" applyFont="0" applyFill="0" applyBorder="0" applyAlignment="0" applyProtection="0"/>
    <xf numFmtId="0" fontId="63" fillId="0" borderId="97">
      <alignment horizontal="left"/>
    </xf>
    <xf numFmtId="0" fontId="63" fillId="0" borderId="56">
      <alignment horizontal="right" vertical="center"/>
    </xf>
    <xf numFmtId="0" fontId="64" fillId="0" borderId="97">
      <alignment horizontal="left" vertical="center"/>
    </xf>
    <xf numFmtId="0" fontId="62" fillId="0" borderId="97">
      <alignment horizontal="left" vertical="center"/>
    </xf>
    <xf numFmtId="0" fontId="65" fillId="0" borderId="97">
      <alignment horizontal="left"/>
    </xf>
    <xf numFmtId="0" fontId="65" fillId="62" borderId="0">
      <alignment horizontal="centerContinuous" wrapText="1"/>
    </xf>
    <xf numFmtId="49" fontId="65" fillId="62" borderId="60">
      <alignment horizontal="left" vertical="center"/>
    </xf>
    <xf numFmtId="0" fontId="65" fillId="62" borderId="0">
      <alignment horizontal="centerContinuous" vertical="center" wrapText="1"/>
    </xf>
    <xf numFmtId="0" fontId="3"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 fontId="60" fillId="0" borderId="0">
      <alignment horizontal="left" vertical="center"/>
    </xf>
    <xf numFmtId="0" fontId="58" fillId="0" borderId="0">
      <alignment horizontal="left" vertical="center"/>
    </xf>
    <xf numFmtId="0" fontId="52" fillId="0" borderId="0">
      <alignment horizontal="right"/>
    </xf>
    <xf numFmtId="49" fontId="52" fillId="0" borderId="0">
      <alignment horizontal="center"/>
    </xf>
    <xf numFmtId="0" fontId="61" fillId="0" borderId="0">
      <alignment horizontal="right"/>
    </xf>
    <xf numFmtId="0" fontId="52" fillId="0" borderId="0">
      <alignment horizontal="left"/>
    </xf>
    <xf numFmtId="49" fontId="60" fillId="0" borderId="0">
      <alignment horizontal="left" vertical="center"/>
    </xf>
    <xf numFmtId="49" fontId="61" fillId="0" borderId="97">
      <alignment horizontal="left" vertical="center"/>
    </xf>
    <xf numFmtId="49" fontId="58" fillId="0" borderId="97" applyFill="0">
      <alignment horizontal="left" vertical="center"/>
    </xf>
    <xf numFmtId="49" fontId="61" fillId="0" borderId="97">
      <alignment horizontal="left"/>
    </xf>
    <xf numFmtId="175" fontId="60" fillId="0" borderId="0" applyNumberFormat="0">
      <alignment horizontal="right"/>
    </xf>
    <xf numFmtId="0" fontId="63" fillId="63" borderId="0">
      <alignment horizontal="centerContinuous" vertical="center" wrapText="1"/>
    </xf>
    <xf numFmtId="0" fontId="63" fillId="0" borderId="98">
      <alignment horizontal="left" vertical="center"/>
    </xf>
    <xf numFmtId="0" fontId="66" fillId="0" borderId="0">
      <alignment horizontal="left" vertical="top"/>
    </xf>
    <xf numFmtId="0" fontId="65" fillId="0" borderId="0">
      <alignment horizontal="left"/>
    </xf>
    <xf numFmtId="0" fontId="59" fillId="0" borderId="0">
      <alignment horizontal="left"/>
    </xf>
    <xf numFmtId="0" fontId="62" fillId="0" borderId="0">
      <alignment horizontal="left"/>
    </xf>
    <xf numFmtId="0" fontId="66" fillId="0" borderId="0">
      <alignment horizontal="left" vertical="top"/>
    </xf>
    <xf numFmtId="0" fontId="59" fillId="0" borderId="0">
      <alignment horizontal="left"/>
    </xf>
    <xf numFmtId="0" fontId="62" fillId="0" borderId="0">
      <alignment horizontal="left"/>
    </xf>
    <xf numFmtId="49" fontId="60" fillId="0" borderId="97">
      <alignment horizontal="left"/>
    </xf>
    <xf numFmtId="0" fontId="63" fillId="0" borderId="56">
      <alignment horizontal="left"/>
    </xf>
    <xf numFmtId="0" fontId="65" fillId="0" borderId="0">
      <alignment horizontal="left" vertical="center"/>
    </xf>
    <xf numFmtId="49" fontId="52" fillId="0" borderId="97">
      <alignment horizontal="left"/>
    </xf>
    <xf numFmtId="0" fontId="67" fillId="0" borderId="0"/>
    <xf numFmtId="0" fontId="68" fillId="0" borderId="0" applyNumberFormat="0" applyFill="0" applyBorder="0" applyAlignment="0" applyProtection="0"/>
    <xf numFmtId="0" fontId="2" fillId="0" borderId="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9" fontId="10" fillId="0" borderId="0">
      <alignment horizontal="left" wrapText="1"/>
    </xf>
    <xf numFmtId="179" fontId="10" fillId="0" borderId="0">
      <alignment horizontal="left" wrapText="1"/>
    </xf>
    <xf numFmtId="179" fontId="10" fillId="0" borderId="0">
      <alignment horizontal="left" wrapText="1"/>
    </xf>
    <xf numFmtId="184" fontId="10" fillId="0" borderId="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3"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84" fontId="33" fillId="6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84" fontId="33" fillId="6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3" fillId="3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4" fontId="33" fillId="4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4" fontId="33" fillId="4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33" fillId="4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58"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58"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58"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3"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4" fontId="33" fillId="6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4" fontId="33" fillId="6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7"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33" fillId="6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33" fillId="6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68"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38" borderId="0" applyNumberFormat="0" applyBorder="0" applyAlignment="0" applyProtection="0"/>
    <xf numFmtId="184" fontId="33" fillId="39" borderId="0" applyNumberFormat="0" applyBorder="0" applyAlignment="0" applyProtection="0"/>
    <xf numFmtId="184" fontId="33" fillId="40" borderId="0" applyNumberFormat="0" applyBorder="0" applyAlignment="0" applyProtection="0"/>
    <xf numFmtId="184" fontId="33" fillId="41" borderId="0" applyNumberFormat="0" applyBorder="0" applyAlignment="0" applyProtection="0"/>
    <xf numFmtId="184" fontId="33" fillId="42" borderId="0" applyNumberFormat="0" applyBorder="0" applyAlignment="0" applyProtection="0"/>
    <xf numFmtId="184" fontId="33" fillId="43"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3" fillId="4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84" fontId="33" fillId="5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84" fontId="33" fillId="5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84" fontId="33"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84" fontId="33"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3" fillId="4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4" fontId="33" fillId="6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4" fontId="33" fillId="6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69"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84" fontId="33" fillId="5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84" fontId="33" fillId="5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56"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3" fillId="4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84" fontId="33" fillId="7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84" fontId="33" fillId="7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70"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33" fillId="47"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3" borderId="0" applyNumberFormat="0" applyBorder="0" applyAlignment="0" applyProtection="0"/>
    <xf numFmtId="184" fontId="33" fillId="44" borderId="0" applyNumberFormat="0" applyBorder="0" applyAlignment="0" applyProtection="0"/>
    <xf numFmtId="184" fontId="33" fillId="45" borderId="0" applyNumberFormat="0" applyBorder="0" applyAlignment="0" applyProtection="0"/>
    <xf numFmtId="184" fontId="33" fillId="46" borderId="0" applyNumberFormat="0" applyBorder="0" applyAlignment="0" applyProtection="0"/>
    <xf numFmtId="184" fontId="33" fillId="41" borderId="0" applyNumberFormat="0" applyBorder="0" applyAlignment="0" applyProtection="0"/>
    <xf numFmtId="184" fontId="33" fillId="44" borderId="0" applyNumberFormat="0" applyBorder="0" applyAlignment="0" applyProtection="0"/>
    <xf numFmtId="184" fontId="33" fillId="47"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0" fontId="35" fillId="48"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4" fontId="35"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4" fontId="35" fillId="42" borderId="0" applyNumberFormat="0" applyBorder="0" applyAlignment="0" applyProtection="0"/>
    <xf numFmtId="0" fontId="32"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0" fontId="35" fillId="4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184" fontId="35" fillId="71"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184" fontId="35" fillId="71" borderId="0" applyNumberFormat="0" applyBorder="0" applyAlignment="0" applyProtection="0"/>
    <xf numFmtId="0" fontId="32" fillId="55"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0" fontId="35"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84" fontId="35" fillId="69"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84" fontId="35" fillId="69" borderId="0" applyNumberFormat="0" applyBorder="0" applyAlignment="0" applyProtection="0"/>
    <xf numFmtId="0" fontId="32" fillId="47"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69"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0" fontId="35" fillId="4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184" fontId="35" fillId="5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184" fontId="35" fillId="56" borderId="0" applyNumberFormat="0" applyBorder="0" applyAlignment="0" applyProtection="0"/>
    <xf numFmtId="0" fontId="32" fillId="39"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6"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0" fontId="35" fillId="50"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4" fontId="35" fillId="50"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4" fontId="35" fillId="50" borderId="0" applyNumberFormat="0" applyBorder="0" applyAlignment="0" applyProtection="0"/>
    <xf numFmtId="0" fontId="32" fillId="42"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0" fontId="35" fillId="51"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184" fontId="35" fillId="43"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184" fontId="35" fillId="43" borderId="0" applyNumberFormat="0" applyBorder="0" applyAlignment="0" applyProtection="0"/>
    <xf numFmtId="0" fontId="32" fillId="45"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3" borderId="0" applyNumberFormat="0" applyBorder="0" applyAlignment="0" applyProtection="0"/>
    <xf numFmtId="184" fontId="35" fillId="48" borderId="0" applyNumberFormat="0" applyBorder="0" applyAlignment="0" applyProtection="0"/>
    <xf numFmtId="184" fontId="35" fillId="45" borderId="0" applyNumberFormat="0" applyBorder="0" applyAlignment="0" applyProtection="0"/>
    <xf numFmtId="184" fontId="35" fillId="46" borderId="0" applyNumberFormat="0" applyBorder="0" applyAlignment="0" applyProtection="0"/>
    <xf numFmtId="184" fontId="35" fillId="49" borderId="0" applyNumberFormat="0" applyBorder="0" applyAlignment="0" applyProtection="0"/>
    <xf numFmtId="184" fontId="35" fillId="50" borderId="0" applyNumberFormat="0" applyBorder="0" applyAlignment="0" applyProtection="0"/>
    <xf numFmtId="184" fontId="35" fillId="51"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0" fontId="35" fillId="5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184" fontId="35" fillId="4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184" fontId="35" fillId="42" borderId="0" applyNumberFormat="0" applyBorder="0" applyAlignment="0" applyProtection="0"/>
    <xf numFmtId="0" fontId="32" fillId="7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42"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0" fontId="35" fillId="53"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184" fontId="35" fillId="73"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184" fontId="35" fillId="73" borderId="0" applyNumberFormat="0" applyBorder="0" applyAlignment="0" applyProtection="0"/>
    <xf numFmtId="0" fontId="32" fillId="55"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0" fontId="35" fillId="54"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84" fontId="35" fillId="73"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84" fontId="35" fillId="73" borderId="0" applyNumberFormat="0" applyBorder="0" applyAlignment="0" applyProtection="0"/>
    <xf numFmtId="0" fontId="32" fillId="47"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3"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0" fontId="35" fillId="49"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184" fontId="35"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0" fontId="32" fillId="74" borderId="0" applyNumberFormat="0" applyBorder="0" applyAlignment="0" applyProtection="0"/>
    <xf numFmtId="184" fontId="35" fillId="74" borderId="0" applyNumberFormat="0" applyBorder="0" applyAlignment="0" applyProtection="0"/>
    <xf numFmtId="0" fontId="32"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74"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0" fontId="35" fillId="5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184" fontId="35" fillId="5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184" fontId="35" fillId="50" borderId="0" applyNumberFormat="0" applyBorder="0" applyAlignment="0" applyProtection="0"/>
    <xf numFmtId="0" fontId="32" fillId="3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50"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0" fontId="35" fillId="55"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184" fontId="35" fillId="71"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184" fontId="35" fillId="71" borderId="0" applyNumberFormat="0" applyBorder="0" applyAlignment="0" applyProtection="0"/>
    <xf numFmtId="0" fontId="32" fillId="53"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35" fillId="71" borderId="0" applyNumberFormat="0" applyBorder="0" applyAlignment="0" applyProtection="0"/>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84" fontId="10" fillId="0" borderId="0" applyNumberFormat="0" applyFont="0" applyFill="0" applyBorder="0" applyAlignment="0">
      <protection locked="0"/>
    </xf>
    <xf numFmtId="167" fontId="82" fillId="0" borderId="0"/>
    <xf numFmtId="185" fontId="83" fillId="0" borderId="0">
      <alignment vertical="center"/>
    </xf>
    <xf numFmtId="184" fontId="84" fillId="39" borderId="0" applyNumberFormat="0" applyBorder="0" applyAlignment="0" applyProtection="0"/>
    <xf numFmtId="184" fontId="84" fillId="39" borderId="0" applyNumberFormat="0" applyBorder="0" applyAlignment="0" applyProtection="0"/>
    <xf numFmtId="184" fontId="84" fillId="39" borderId="0" applyNumberFormat="0" applyBorder="0" applyAlignment="0" applyProtection="0"/>
    <xf numFmtId="184" fontId="84" fillId="39" borderId="0" applyNumberFormat="0" applyBorder="0" applyAlignment="0" applyProtection="0"/>
    <xf numFmtId="184" fontId="84" fillId="39" borderId="0" applyNumberFormat="0" applyBorder="0" applyAlignment="0" applyProtection="0"/>
    <xf numFmtId="184" fontId="84" fillId="39" borderId="0" applyNumberFormat="0" applyBorder="0" applyAlignment="0" applyProtection="0"/>
    <xf numFmtId="0" fontId="36"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184" fontId="84"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184" fontId="84" fillId="39" borderId="0" applyNumberFormat="0" applyBorder="0" applyAlignment="0" applyProtection="0"/>
    <xf numFmtId="0" fontId="22" fillId="41" borderId="0" applyNumberFormat="0" applyBorder="0" applyAlignment="0" applyProtection="0"/>
    <xf numFmtId="184" fontId="84" fillId="39" borderId="0" applyNumberFormat="0" applyBorder="0" applyAlignment="0" applyProtection="0"/>
    <xf numFmtId="184" fontId="84" fillId="39" borderId="0" applyNumberFormat="0" applyBorder="0" applyAlignment="0" applyProtection="0"/>
    <xf numFmtId="184" fontId="84" fillId="39" borderId="0" applyNumberFormat="0" applyBorder="0" applyAlignment="0" applyProtection="0"/>
    <xf numFmtId="184" fontId="84" fillId="39" borderId="0" applyNumberFormat="0" applyBorder="0" applyAlignment="0" applyProtection="0"/>
    <xf numFmtId="184" fontId="84" fillId="39" borderId="0" applyNumberFormat="0" applyBorder="0" applyAlignment="0" applyProtection="0"/>
    <xf numFmtId="184" fontId="84" fillId="39" borderId="0" applyNumberFormat="0" applyBorder="0" applyAlignment="0" applyProtection="0"/>
    <xf numFmtId="184" fontId="84" fillId="39" borderId="0" applyNumberFormat="0" applyBorder="0" applyAlignment="0" applyProtection="0"/>
    <xf numFmtId="184" fontId="84" fillId="39" borderId="0" applyNumberFormat="0" applyBorder="0" applyAlignment="0" applyProtection="0"/>
    <xf numFmtId="184" fontId="84" fillId="39" borderId="0" applyNumberFormat="0" applyBorder="0" applyAlignment="0" applyProtection="0"/>
    <xf numFmtId="184" fontId="84" fillId="39" borderId="0" applyNumberFormat="0" applyBorder="0" applyAlignment="0" applyProtection="0"/>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184" fontId="10" fillId="44" borderId="0" applyNumberFormat="0" applyBorder="0" applyAlignment="0">
      <protection locked="0"/>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38" fontId="85" fillId="75" borderId="39" applyFont="0" applyFill="0" applyBorder="0" applyAlignment="0" applyProtection="0">
      <alignment horizontal="right"/>
    </xf>
    <xf numFmtId="184" fontId="86" fillId="0" borderId="0" applyNumberFormat="0" applyFill="0" applyBorder="0" applyAlignment="0" applyProtection="0"/>
    <xf numFmtId="180" fontId="87" fillId="76" borderId="17">
      <alignment horizontal="center" vertical="center" wrapText="1"/>
    </xf>
    <xf numFmtId="0" fontId="87" fillId="76" borderId="17">
      <alignment horizontal="center" vertical="center" wrapText="1"/>
    </xf>
    <xf numFmtId="0" fontId="87" fillId="76" borderId="17">
      <alignment horizontal="center" vertical="center" wrapText="1"/>
    </xf>
    <xf numFmtId="0" fontId="87" fillId="76" borderId="17">
      <alignment horizontal="center" vertical="center" wrapText="1"/>
    </xf>
    <xf numFmtId="0" fontId="87" fillId="76" borderId="17">
      <alignment horizontal="center" vertical="center" wrapText="1"/>
    </xf>
    <xf numFmtId="0" fontId="87" fillId="76" borderId="17">
      <alignment horizontal="center" vertical="center" wrapText="1"/>
    </xf>
    <xf numFmtId="0" fontId="87" fillId="76" borderId="17">
      <alignment horizontal="center" vertical="center" wrapText="1"/>
    </xf>
    <xf numFmtId="0" fontId="87" fillId="76" borderId="17">
      <alignment horizontal="center" vertical="center" wrapText="1"/>
    </xf>
    <xf numFmtId="3" fontId="87" fillId="77" borderId="12">
      <alignment horizontal="right" vertical="center" wrapText="1" indent="2"/>
    </xf>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42" fillId="40" borderId="0" applyNumberFormat="0" applyBorder="0" applyAlignment="0" applyProtection="0"/>
    <xf numFmtId="184" fontId="88" fillId="0" borderId="0" applyNumberForma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0" fontId="38" fillId="56" borderId="88" applyNumberFormat="0" applyAlignment="0" applyProtection="0"/>
    <xf numFmtId="0" fontId="38" fillId="56" borderId="88" applyNumberFormat="0" applyAlignment="0" applyProtection="0"/>
    <xf numFmtId="0" fontId="89" fillId="67" borderId="70" applyNumberFormat="0" applyAlignment="0" applyProtection="0"/>
    <xf numFmtId="0" fontId="89" fillId="67" borderId="70" applyNumberFormat="0" applyAlignment="0" applyProtection="0"/>
    <xf numFmtId="184" fontId="38" fillId="67" borderId="88" applyNumberFormat="0" applyAlignment="0" applyProtection="0"/>
    <xf numFmtId="0" fontId="89" fillId="67" borderId="70" applyNumberFormat="0" applyAlignment="0" applyProtection="0"/>
    <xf numFmtId="0" fontId="89" fillId="67" borderId="70" applyNumberFormat="0" applyAlignment="0" applyProtection="0"/>
    <xf numFmtId="0" fontId="89" fillId="67" borderId="70"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0" fontId="89" fillId="67" borderId="70"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67"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8" fillId="56" borderId="88" applyNumberFormat="0" applyAlignment="0" applyProtection="0"/>
    <xf numFmtId="184" fontId="39" fillId="57" borderId="89" applyNumberFormat="0" applyAlignment="0" applyProtection="0"/>
    <xf numFmtId="184" fontId="49" fillId="0" borderId="93" applyNumberFormat="0" applyFill="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0" fontId="39" fillId="57" borderId="89" applyNumberFormat="0" applyAlignment="0" applyProtection="0"/>
    <xf numFmtId="0" fontId="28" fillId="12" borderId="73" applyNumberFormat="0" applyAlignment="0" applyProtection="0"/>
    <xf numFmtId="0" fontId="28" fillId="12" borderId="73" applyNumberFormat="0" applyAlignment="0" applyProtection="0"/>
    <xf numFmtId="184" fontId="39" fillId="57" borderId="89" applyNumberFormat="0" applyAlignment="0" applyProtection="0"/>
    <xf numFmtId="0" fontId="28" fillId="12" borderId="73" applyNumberFormat="0" applyAlignment="0" applyProtection="0"/>
    <xf numFmtId="0" fontId="28" fillId="12" borderId="73" applyNumberFormat="0" applyAlignment="0" applyProtection="0"/>
    <xf numFmtId="0" fontId="28" fillId="12" borderId="73" applyNumberFormat="0" applyAlignment="0" applyProtection="0"/>
    <xf numFmtId="184" fontId="39" fillId="57" borderId="89" applyNumberFormat="0" applyAlignment="0" applyProtection="0"/>
    <xf numFmtId="0" fontId="28" fillId="12" borderId="73"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39" fillId="57" borderId="89" applyNumberFormat="0" applyAlignment="0" applyProtection="0"/>
    <xf numFmtId="184" fontId="4" fillId="0" borderId="0" applyNumberFormat="0" applyFill="0" applyBorder="0" applyAlignment="0" applyProtection="0"/>
    <xf numFmtId="184" fontId="90"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91" fillId="0" borderId="60" applyNumberFormat="0" applyFill="0" applyBorder="0" applyAlignment="0" applyProtection="0">
      <alignment horizontal="center"/>
    </xf>
    <xf numFmtId="167" fontId="92" fillId="0" borderId="0" applyFont="0" applyFill="0" applyBorder="0" applyAlignment="0" applyProtection="0"/>
    <xf numFmtId="186" fontId="40" fillId="0" borderId="0" applyFont="0" applyFill="0" applyBorder="0" applyAlignment="0" applyProtection="0"/>
    <xf numFmtId="184" fontId="93" fillId="0" borderId="0" applyFont="0" applyFill="0" applyBorder="0" applyAlignment="0" applyProtection="0">
      <alignment horizontal="right"/>
    </xf>
    <xf numFmtId="43" fontId="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43" fontId="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1" fillId="0" borderId="0" applyFont="0" applyFill="0" applyBorder="0" applyAlignment="0" applyProtection="0"/>
    <xf numFmtId="184" fontId="93" fillId="0" borderId="0" applyFont="0" applyFill="0" applyBorder="0" applyAlignment="0" applyProtection="0">
      <alignment horizontal="right"/>
    </xf>
    <xf numFmtId="184" fontId="93" fillId="0" borderId="0" applyFont="0" applyFill="0" applyBorder="0" applyAlignment="0" applyProtection="0">
      <alignment horizontal="right"/>
    </xf>
    <xf numFmtId="184" fontId="93" fillId="0" borderId="0" applyFont="0" applyFill="0" applyBorder="0" applyAlignment="0" applyProtection="0">
      <alignment horizontal="right"/>
    </xf>
    <xf numFmtId="43" fontId="10" fillId="0" borderId="0" applyFont="0" applyFill="0" applyBorder="0" applyAlignment="0" applyProtection="0"/>
    <xf numFmtId="187" fontId="11" fillId="0" borderId="0" applyFont="0" applyFill="0" applyBorder="0" applyAlignment="0" applyProtection="0"/>
    <xf numFmtId="43" fontId="10" fillId="0" borderId="0" applyFont="0" applyFill="0" applyBorder="0" applyAlignment="0" applyProtection="0"/>
    <xf numFmtId="187"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84" fontId="93" fillId="0" borderId="0" applyFont="0" applyFill="0" applyBorder="0" applyAlignment="0" applyProtection="0">
      <alignment horizontal="right"/>
    </xf>
    <xf numFmtId="184" fontId="93" fillId="0" borderId="0" applyFont="0" applyFill="0" applyBorder="0" applyAlignment="0" applyProtection="0">
      <alignment horizontal="right"/>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184" fontId="93" fillId="0" borderId="0" applyFont="0" applyFill="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184" fontId="93" fillId="0" borderId="0" applyFont="0" applyFill="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93" fillId="0" borderId="0" applyFont="0" applyFill="0" applyBorder="0" applyAlignment="0" applyProtection="0">
      <alignment horizontal="right"/>
    </xf>
    <xf numFmtId="184" fontId="93" fillId="0" borderId="0" applyFont="0" applyFill="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43" fontId="4"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43" fontId="4"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5" fillId="0" borderId="161">
      <protection locked="0"/>
    </xf>
    <xf numFmtId="184" fontId="93"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184" fontId="93"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184" fontId="93"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4" fontId="93"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4" fontId="93"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4" fontId="93"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184" fontId="93"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3" fillId="0" borderId="0" applyFont="0" applyFill="0" applyBorder="0" applyAlignment="0" applyProtection="0"/>
    <xf numFmtId="44" fontId="1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4" fontId="93" fillId="0" borderId="0" applyFont="0" applyFill="0" applyBorder="0" applyAlignment="0" applyProtection="0">
      <alignment horizontal="right"/>
    </xf>
    <xf numFmtId="184" fontId="93"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0" fontId="10" fillId="0" borderId="0" applyFont="0" applyFill="0" applyBorder="0" applyAlignment="0" applyProtection="0"/>
    <xf numFmtId="44" fontId="10"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44" fontId="10"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44" fontId="10"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44" fontId="10"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44" fontId="10"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44" fontId="10"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44" fontId="10"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44" fontId="10"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44" fontId="10"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44" fontId="10"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44" fontId="10"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44" fontId="10"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5" fontId="94" fillId="0" borderId="0" applyFont="0" applyFill="0" applyBorder="0" applyAlignment="0" applyProtection="0"/>
    <xf numFmtId="5" fontId="94"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0" fontId="1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90" fontId="10" fillId="0" borderId="0" applyFont="0" applyFill="0" applyBorder="0" applyAlignment="0" applyProtection="0"/>
    <xf numFmtId="184" fontId="93" fillId="0" borderId="0" applyFont="0" applyFill="0" applyBorder="0" applyAlignment="0" applyProtection="0"/>
    <xf numFmtId="15" fontId="10" fillId="0" borderId="0" applyFont="0" applyFill="0" applyBorder="0" applyAlignment="0" applyProtection="0">
      <alignment horizontal="right"/>
    </xf>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5" fontId="96" fillId="0" borderId="0" applyFont="0" applyFill="0" applyBorder="0" applyAlignment="0" applyProtection="0"/>
    <xf numFmtId="184" fontId="93" fillId="0" borderId="162" applyNumberFormat="0" applyFont="0" applyFill="0" applyAlignment="0" applyProtection="0"/>
    <xf numFmtId="184" fontId="45" fillId="0" borderId="0" applyNumberFormat="0" applyFill="0" applyBorder="0" applyAlignment="0" applyProtection="0"/>
    <xf numFmtId="184" fontId="35" fillId="52" borderId="0" applyNumberFormat="0" applyBorder="0" applyAlignment="0" applyProtection="0"/>
    <xf numFmtId="184" fontId="35" fillId="53" borderId="0" applyNumberFormat="0" applyBorder="0" applyAlignment="0" applyProtection="0"/>
    <xf numFmtId="184" fontId="35" fillId="54" borderId="0" applyNumberFormat="0" applyBorder="0" applyAlignment="0" applyProtection="0"/>
    <xf numFmtId="184" fontId="35" fillId="49" borderId="0" applyNumberFormat="0" applyBorder="0" applyAlignment="0" applyProtection="0"/>
    <xf numFmtId="184" fontId="35" fillId="50" borderId="0" applyNumberFormat="0" applyBorder="0" applyAlignment="0" applyProtection="0"/>
    <xf numFmtId="184" fontId="35" fillId="55" borderId="0" applyNumberFormat="0" applyBorder="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184" fontId="48" fillId="43" borderId="88" applyNumberFormat="0" applyAlignment="0" applyProtection="0"/>
    <xf numFmtId="3" fontId="97" fillId="0" borderId="0"/>
    <xf numFmtId="3" fontId="97" fillId="0" borderId="0"/>
    <xf numFmtId="184" fontId="98" fillId="0" borderId="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0" fontId="4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4" fontId="4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4" fontId="41" fillId="0" borderId="0" applyNumberFormat="0" applyFill="0" applyBorder="0" applyAlignment="0" applyProtection="0"/>
    <xf numFmtId="0" fontId="30"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84" fontId="41" fillId="0" borderId="0" applyNumberForma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0" fontId="65" fillId="0" borderId="60" applyNumberFormat="0" applyFill="0" applyBorder="0" applyAlignment="0"/>
    <xf numFmtId="184" fontId="99" fillId="0" borderId="0" applyFill="0" applyBorder="0" applyProtection="0">
      <alignment horizontal="left"/>
    </xf>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0" fontId="42" fillId="40"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184" fontId="42" fillId="40"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184" fontId="42" fillId="40" borderId="0" applyNumberFormat="0" applyBorder="0" applyAlignment="0" applyProtection="0"/>
    <xf numFmtId="0" fontId="21" fillId="42"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184" fontId="42" fillId="40" borderId="0" applyNumberFormat="0" applyBorder="0" applyAlignment="0" applyProtection="0"/>
    <xf numFmtId="3" fontId="87" fillId="77" borderId="12">
      <alignment horizontal="center" vertical="center" wrapText="1"/>
    </xf>
    <xf numFmtId="3" fontId="87" fillId="77" borderId="163">
      <alignment horizontal="center" vertical="center" wrapText="1"/>
    </xf>
    <xf numFmtId="184" fontId="93" fillId="0" borderId="0" applyFont="0" applyFill="0" applyBorder="0" applyAlignment="0" applyProtection="0">
      <alignment horizontal="right"/>
    </xf>
    <xf numFmtId="0" fontId="100" fillId="56" borderId="47">
      <alignment horizontal="center" vertical="center"/>
    </xf>
    <xf numFmtId="184" fontId="101" fillId="0" borderId="0" applyProtection="0">
      <alignment horizontal="right"/>
    </xf>
    <xf numFmtId="0" fontId="100" fillId="56" borderId="47">
      <alignment horizontal="center" vertical="center"/>
    </xf>
    <xf numFmtId="0" fontId="100" fillId="56" borderId="47">
      <alignment horizontal="center" vertical="center"/>
    </xf>
    <xf numFmtId="184" fontId="101" fillId="0" borderId="0" applyProtection="0">
      <alignment horizontal="right"/>
    </xf>
    <xf numFmtId="197" fontId="102" fillId="0" borderId="164" applyFill="0" applyProtection="0">
      <alignment wrapText="1"/>
    </xf>
    <xf numFmtId="184" fontId="103" fillId="0" borderId="0" applyNumberFormat="0" applyFill="0" applyBorder="0" applyAlignment="0" applyProtection="0"/>
    <xf numFmtId="184" fontId="103" fillId="0" borderId="0" applyNumberFormat="0" applyFill="0" applyBorder="0" applyAlignment="0" applyProtection="0"/>
    <xf numFmtId="184" fontId="103" fillId="0" borderId="0" applyNumberFormat="0" applyFill="0" applyBorder="0" applyAlignment="0" applyProtection="0"/>
    <xf numFmtId="184" fontId="103" fillId="0" borderId="0" applyNumberFormat="0" applyFill="0" applyBorder="0" applyAlignment="0" applyProtection="0"/>
    <xf numFmtId="184" fontId="103" fillId="0" borderId="0" applyNumberFormat="0" applyFill="0" applyBorder="0" applyAlignment="0" applyProtection="0"/>
    <xf numFmtId="184" fontId="103" fillId="0" borderId="0" applyNumberFormat="0" applyFill="0" applyBorder="0" applyAlignment="0" applyProtection="0"/>
    <xf numFmtId="0" fontId="43" fillId="0" borderId="90" applyNumberFormat="0" applyFill="0" applyAlignment="0" applyProtection="0"/>
    <xf numFmtId="0" fontId="104" fillId="0" borderId="165" applyNumberFormat="0" applyFill="0" applyAlignment="0" applyProtection="0"/>
    <xf numFmtId="0" fontId="104" fillId="0" borderId="165" applyNumberFormat="0" applyFill="0" applyAlignment="0" applyProtection="0"/>
    <xf numFmtId="184" fontId="103" fillId="0" borderId="0" applyNumberFormat="0" applyFill="0" applyBorder="0" applyAlignment="0" applyProtection="0"/>
    <xf numFmtId="0" fontId="104" fillId="0" borderId="165" applyNumberFormat="0" applyFill="0" applyAlignment="0" applyProtection="0"/>
    <xf numFmtId="0" fontId="104" fillId="0" borderId="165" applyNumberFormat="0" applyFill="0" applyAlignment="0" applyProtection="0"/>
    <xf numFmtId="0" fontId="104" fillId="0" borderId="165" applyNumberFormat="0" applyFill="0" applyAlignment="0" applyProtection="0"/>
    <xf numFmtId="184" fontId="103" fillId="0" borderId="0" applyNumberFormat="0" applyFill="0" applyBorder="0" applyAlignment="0" applyProtection="0"/>
    <xf numFmtId="0" fontId="104" fillId="0" borderId="165" applyNumberFormat="0" applyFill="0" applyAlignment="0" applyProtection="0"/>
    <xf numFmtId="184" fontId="103" fillId="0" borderId="0" applyNumberFormat="0" applyFill="0" applyBorder="0" applyAlignment="0" applyProtection="0"/>
    <xf numFmtId="184" fontId="103" fillId="0" borderId="0" applyNumberFormat="0" applyFill="0" applyBorder="0" applyAlignment="0" applyProtection="0"/>
    <xf numFmtId="184" fontId="103" fillId="0" borderId="0" applyNumberFormat="0" applyFill="0" applyBorder="0" applyAlignment="0" applyProtection="0"/>
    <xf numFmtId="184" fontId="103" fillId="0" borderId="0" applyNumberFormat="0" applyFill="0" applyBorder="0" applyAlignment="0" applyProtection="0"/>
    <xf numFmtId="184" fontId="103" fillId="0" borderId="0" applyNumberFormat="0" applyFill="0" applyBorder="0" applyAlignment="0" applyProtection="0"/>
    <xf numFmtId="184" fontId="103" fillId="0" borderId="0" applyNumberFormat="0" applyFill="0" applyBorder="0" applyAlignment="0" applyProtection="0"/>
    <xf numFmtId="184" fontId="103" fillId="0" borderId="0" applyNumberFormat="0" applyFill="0" applyBorder="0" applyAlignment="0" applyProtection="0"/>
    <xf numFmtId="184" fontId="103" fillId="0" borderId="0" applyNumberFormat="0" applyFill="0" applyBorder="0" applyAlignment="0" applyProtection="0"/>
    <xf numFmtId="184" fontId="103" fillId="0" borderId="0" applyNumberFormat="0" applyFill="0" applyBorder="0" applyAlignment="0" applyProtection="0"/>
    <xf numFmtId="184" fontId="103" fillId="0" borderId="0" applyNumberFormat="0" applyFill="0" applyBorder="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0" fontId="44" fillId="0" borderId="91" applyNumberFormat="0" applyFill="0" applyAlignment="0" applyProtection="0"/>
    <xf numFmtId="0" fontId="106" fillId="0" borderId="166" applyNumberFormat="0" applyFill="0" applyAlignment="0" applyProtection="0"/>
    <xf numFmtId="0" fontId="106" fillId="0" borderId="166" applyNumberFormat="0" applyFill="0" applyAlignment="0" applyProtection="0"/>
    <xf numFmtId="184" fontId="105" fillId="0" borderId="0" applyNumberFormat="0" applyFill="0" applyBorder="0" applyAlignment="0" applyProtection="0"/>
    <xf numFmtId="0" fontId="106" fillId="0" borderId="166" applyNumberFormat="0" applyFill="0" applyAlignment="0" applyProtection="0"/>
    <xf numFmtId="0" fontId="106" fillId="0" borderId="166" applyNumberFormat="0" applyFill="0" applyAlignment="0" applyProtection="0"/>
    <xf numFmtId="0" fontId="106" fillId="0" borderId="166" applyNumberFormat="0" applyFill="0" applyAlignment="0" applyProtection="0"/>
    <xf numFmtId="184" fontId="105" fillId="0" borderId="0" applyNumberFormat="0" applyFill="0" applyBorder="0" applyAlignment="0" applyProtection="0"/>
    <xf numFmtId="0" fontId="106" fillId="0" borderId="166" applyNumberFormat="0" applyFill="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184" fontId="105" fillId="0" borderId="0" applyNumberFormat="0" applyFill="0" applyBorder="0" applyAlignment="0" applyProtection="0"/>
    <xf numFmtId="184" fontId="107" fillId="0" borderId="0" applyProtection="0">
      <alignment horizontal="left"/>
    </xf>
    <xf numFmtId="184" fontId="107" fillId="0" borderId="0" applyProtection="0">
      <alignment horizontal="left"/>
    </xf>
    <xf numFmtId="184" fontId="107" fillId="0" borderId="0" applyProtection="0">
      <alignment horizontal="left"/>
    </xf>
    <xf numFmtId="184" fontId="107" fillId="0" borderId="0" applyProtection="0">
      <alignment horizontal="left"/>
    </xf>
    <xf numFmtId="184" fontId="107" fillId="0" borderId="0" applyProtection="0">
      <alignment horizontal="left"/>
    </xf>
    <xf numFmtId="184" fontId="107" fillId="0" borderId="0" applyProtection="0">
      <alignment horizontal="left"/>
    </xf>
    <xf numFmtId="0" fontId="45" fillId="0" borderId="92" applyNumberFormat="0" applyFill="0" applyAlignment="0" applyProtection="0"/>
    <xf numFmtId="0" fontId="108" fillId="0" borderId="167" applyNumberFormat="0" applyFill="0" applyAlignment="0" applyProtection="0"/>
    <xf numFmtId="0" fontId="108" fillId="0" borderId="167" applyNumberFormat="0" applyFill="0" applyAlignment="0" applyProtection="0"/>
    <xf numFmtId="184" fontId="107" fillId="0" borderId="0" applyProtection="0">
      <alignment horizontal="left"/>
    </xf>
    <xf numFmtId="0" fontId="108" fillId="0" borderId="167" applyNumberFormat="0" applyFill="0" applyAlignment="0" applyProtection="0"/>
    <xf numFmtId="0" fontId="108" fillId="0" borderId="167" applyNumberFormat="0" applyFill="0" applyAlignment="0" applyProtection="0"/>
    <xf numFmtId="0" fontId="108" fillId="0" borderId="167" applyNumberFormat="0" applyFill="0" applyAlignment="0" applyProtection="0"/>
    <xf numFmtId="184" fontId="107" fillId="0" borderId="0" applyProtection="0">
      <alignment horizontal="left"/>
    </xf>
    <xf numFmtId="0" fontId="108" fillId="0" borderId="167" applyNumberFormat="0" applyFill="0" applyAlignment="0" applyProtection="0"/>
    <xf numFmtId="184" fontId="107" fillId="0" borderId="0" applyProtection="0">
      <alignment horizontal="left"/>
    </xf>
    <xf numFmtId="184" fontId="107" fillId="0" borderId="0" applyProtection="0">
      <alignment horizontal="left"/>
    </xf>
    <xf numFmtId="184" fontId="107" fillId="0" borderId="0" applyProtection="0">
      <alignment horizontal="left"/>
    </xf>
    <xf numFmtId="184" fontId="107" fillId="0" borderId="0" applyProtection="0">
      <alignment horizontal="left"/>
    </xf>
    <xf numFmtId="184" fontId="107" fillId="0" borderId="0" applyProtection="0">
      <alignment horizontal="left"/>
    </xf>
    <xf numFmtId="184" fontId="107" fillId="0" borderId="0" applyProtection="0">
      <alignment horizontal="left"/>
    </xf>
    <xf numFmtId="184" fontId="107" fillId="0" borderId="0" applyProtection="0">
      <alignment horizontal="left"/>
    </xf>
    <xf numFmtId="184" fontId="107" fillId="0" borderId="0" applyProtection="0">
      <alignment horizontal="left"/>
    </xf>
    <xf numFmtId="184" fontId="107" fillId="0" borderId="0" applyProtection="0">
      <alignment horizontal="left"/>
    </xf>
    <xf numFmtId="184" fontId="107" fillId="0" borderId="0" applyProtection="0">
      <alignment horizontal="left"/>
    </xf>
    <xf numFmtId="184" fontId="108" fillId="0" borderId="0" applyNumberFormat="0" applyFill="0" applyBorder="0" applyAlignment="0" applyProtection="0"/>
    <xf numFmtId="184" fontId="108" fillId="0" borderId="0" applyNumberFormat="0" applyFill="0" applyBorder="0" applyAlignment="0" applyProtection="0"/>
    <xf numFmtId="184" fontId="108" fillId="0" borderId="0" applyNumberFormat="0" applyFill="0" applyBorder="0" applyAlignment="0" applyProtection="0"/>
    <xf numFmtId="184" fontId="108" fillId="0" borderId="0" applyNumberFormat="0" applyFill="0" applyBorder="0" applyAlignment="0" applyProtection="0"/>
    <xf numFmtId="184" fontId="108" fillId="0" borderId="0" applyNumberFormat="0" applyFill="0" applyBorder="0" applyAlignment="0" applyProtection="0"/>
    <xf numFmtId="184" fontId="108" fillId="0" borderId="0" applyNumberFormat="0" applyFill="0" applyBorder="0" applyAlignment="0" applyProtection="0"/>
    <xf numFmtId="0" fontId="4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84"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84" fontId="108" fillId="0" borderId="0" applyNumberFormat="0" applyFill="0" applyBorder="0" applyAlignment="0" applyProtection="0"/>
    <xf numFmtId="0" fontId="108" fillId="0" borderId="0" applyNumberFormat="0" applyFill="0" applyBorder="0" applyAlignment="0" applyProtection="0"/>
    <xf numFmtId="184" fontId="108" fillId="0" borderId="0" applyNumberFormat="0" applyFill="0" applyBorder="0" applyAlignment="0" applyProtection="0"/>
    <xf numFmtId="184" fontId="108" fillId="0" borderId="0" applyNumberFormat="0" applyFill="0" applyBorder="0" applyAlignment="0" applyProtection="0"/>
    <xf numFmtId="184" fontId="108" fillId="0" borderId="0" applyNumberFormat="0" applyFill="0" applyBorder="0" applyAlignment="0" applyProtection="0"/>
    <xf numFmtId="184" fontId="108" fillId="0" borderId="0" applyNumberFormat="0" applyFill="0" applyBorder="0" applyAlignment="0" applyProtection="0"/>
    <xf numFmtId="184" fontId="108" fillId="0" borderId="0" applyNumberFormat="0" applyFill="0" applyBorder="0" applyAlignment="0" applyProtection="0"/>
    <xf numFmtId="184" fontId="108" fillId="0" borderId="0" applyNumberFormat="0" applyFill="0" applyBorder="0" applyAlignment="0" applyProtection="0"/>
    <xf numFmtId="184" fontId="108" fillId="0" borderId="0" applyNumberFormat="0" applyFill="0" applyBorder="0" applyAlignment="0" applyProtection="0"/>
    <xf numFmtId="184" fontId="108" fillId="0" borderId="0" applyNumberFormat="0" applyFill="0" applyBorder="0" applyAlignment="0" applyProtection="0"/>
    <xf numFmtId="184" fontId="108" fillId="0" borderId="0" applyNumberFormat="0" applyFill="0" applyBorder="0" applyAlignment="0" applyProtection="0"/>
    <xf numFmtId="184" fontId="108" fillId="0" borderId="0" applyNumberFormat="0" applyFill="0" applyBorder="0" applyAlignment="0" applyProtection="0"/>
    <xf numFmtId="198" fontId="109" fillId="0" borderId="0">
      <protection locked="0"/>
    </xf>
    <xf numFmtId="198" fontId="109" fillId="0" borderId="0">
      <protection locked="0"/>
    </xf>
    <xf numFmtId="199" fontId="10" fillId="78" borderId="0" applyBorder="0"/>
    <xf numFmtId="1" fontId="10" fillId="78" borderId="0" applyFill="0" applyBorder="0" applyAlignment="0" applyProtection="0"/>
    <xf numFmtId="200" fontId="10" fillId="78" borderId="0" applyBorder="0" applyProtection="0"/>
    <xf numFmtId="200" fontId="10" fillId="79" borderId="0"/>
    <xf numFmtId="201" fontId="10" fillId="78" borderId="0" applyFill="0" applyBorder="0" applyProtection="0"/>
    <xf numFmtId="202" fontId="10" fillId="78" borderId="168" applyBorder="0" applyProtection="0"/>
    <xf numFmtId="203" fontId="10" fillId="78" borderId="169" applyFill="0" applyBorder="0" applyProtection="0"/>
    <xf numFmtId="204" fontId="10" fillId="0" borderId="0" applyFill="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5" fontId="10" fillId="0" borderId="17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0" fillId="0" borderId="0" applyFill="0" applyBorder="0"/>
    <xf numFmtId="204" fontId="11" fillId="0" borderId="0" applyFill="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204" fontId="11" fillId="0" borderId="80"/>
    <xf numFmtId="184" fontId="110" fillId="80" borderId="0"/>
    <xf numFmtId="184" fontId="111" fillId="80" borderId="0"/>
    <xf numFmtId="184" fontId="112" fillId="80" borderId="0"/>
    <xf numFmtId="199" fontId="10" fillId="0" borderId="0" applyFill="0" applyBorder="0"/>
    <xf numFmtId="206" fontId="10" fillId="0" borderId="0" applyBorder="0"/>
    <xf numFmtId="184" fontId="10" fillId="0" borderId="0" applyBorder="0">
      <alignment horizontal="right"/>
    </xf>
    <xf numFmtId="1" fontId="10" fillId="0" borderId="168" applyFill="0" applyBorder="0" applyAlignment="0"/>
    <xf numFmtId="1" fontId="10" fillId="0" borderId="168" applyFill="0" applyBorder="0" applyAlignment="0"/>
    <xf numFmtId="1" fontId="10" fillId="0" borderId="168" applyFill="0" applyBorder="0" applyAlignment="0"/>
    <xf numFmtId="1" fontId="10" fillId="0" borderId="168" applyFill="0" applyBorder="0" applyAlignment="0"/>
    <xf numFmtId="1" fontId="10" fillId="0" borderId="168" applyFill="0" applyBorder="0" applyAlignment="0"/>
    <xf numFmtId="1" fontId="10" fillId="0" borderId="168" applyFill="0" applyBorder="0" applyAlignment="0"/>
    <xf numFmtId="1" fontId="10" fillId="0" borderId="168" applyFill="0" applyBorder="0" applyAlignment="0"/>
    <xf numFmtId="1" fontId="10" fillId="0" borderId="168" applyFill="0" applyBorder="0" applyAlignment="0"/>
    <xf numFmtId="1" fontId="10" fillId="0" borderId="168" applyFill="0" applyBorder="0" applyAlignment="0"/>
    <xf numFmtId="1" fontId="10" fillId="0" borderId="168" applyFill="0" applyBorder="0" applyAlignment="0"/>
    <xf numFmtId="1" fontId="10" fillId="0" borderId="168"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81" borderId="171">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4" fillId="82" borderId="17">
      <alignment horizontal="left" vertical="center" wrapText="1" indent="2"/>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114" fillId="83" borderId="17">
      <alignment vertical="center"/>
    </xf>
    <xf numFmtId="0" fontId="4" fillId="0" borderId="0"/>
    <xf numFmtId="207" fontId="114" fillId="84" borderId="17">
      <alignment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76" borderId="17"/>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2" fontId="7" fillId="77" borderId="5"/>
    <xf numFmtId="0" fontId="4" fillId="0" borderId="0"/>
    <xf numFmtId="0" fontId="115" fillId="85" borderId="3">
      <alignment horizontal="left" vertical="center" wrapText="1"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7" fontId="114" fillId="84" borderId="17">
      <alignment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260">
    <xf numFmtId="0" fontId="0" fillId="0" borderId="0" xfId="0"/>
    <xf numFmtId="0" fontId="7" fillId="0" borderId="0" xfId="0" applyFont="1"/>
    <xf numFmtId="0" fontId="7" fillId="0" borderId="0" xfId="0" applyFont="1" applyFill="1"/>
    <xf numFmtId="0" fontId="5" fillId="0" borderId="0" xfId="0" applyFont="1"/>
    <xf numFmtId="0" fontId="12" fillId="0" borderId="0" xfId="0" applyFont="1"/>
    <xf numFmtId="0" fontId="12" fillId="0" borderId="0" xfId="0" applyFont="1" applyFill="1"/>
    <xf numFmtId="0" fontId="7" fillId="2" borderId="0" xfId="0" applyFont="1" applyFill="1"/>
    <xf numFmtId="168" fontId="10" fillId="3" borderId="18" xfId="4" applyNumberFormat="1" applyFont="1" applyFill="1" applyBorder="1" applyAlignment="1" applyProtection="1">
      <alignment horizontal="center" vertical="center" wrapText="1"/>
      <protection locked="0"/>
    </xf>
    <xf numFmtId="0" fontId="67" fillId="0" borderId="0" xfId="211" applyFont="1"/>
    <xf numFmtId="0" fontId="67" fillId="0" borderId="0" xfId="211" applyFont="1" applyAlignment="1">
      <alignment horizontal="left" wrapText="1"/>
    </xf>
    <xf numFmtId="0" fontId="67" fillId="0" borderId="0" xfId="211" applyFont="1" applyBorder="1"/>
    <xf numFmtId="0" fontId="67" fillId="0" borderId="0" xfId="211" applyFont="1" applyBorder="1" applyAlignment="1">
      <alignment horizontal="left" wrapText="1"/>
    </xf>
    <xf numFmtId="0" fontId="67" fillId="0" borderId="0" xfId="211" applyFont="1" applyBorder="1" applyAlignment="1">
      <alignment vertical="center"/>
    </xf>
    <xf numFmtId="0" fontId="67" fillId="0" borderId="0" xfId="211" applyFont="1" applyAlignment="1">
      <alignment vertical="center" wrapText="1"/>
    </xf>
    <xf numFmtId="0" fontId="6" fillId="5" borderId="11" xfId="0" applyFont="1" applyFill="1" applyBorder="1" applyAlignment="1" applyProtection="1">
      <alignment vertical="top" wrapText="1"/>
    </xf>
    <xf numFmtId="0" fontId="11" fillId="5" borderId="7" xfId="0" applyFont="1" applyFill="1" applyBorder="1" applyAlignment="1" applyProtection="1">
      <alignment vertical="top" wrapText="1"/>
    </xf>
    <xf numFmtId="0" fontId="11" fillId="5" borderId="8" xfId="0" applyFont="1" applyFill="1" applyBorder="1" applyAlignment="1" applyProtection="1">
      <alignment vertical="top" wrapText="1"/>
    </xf>
    <xf numFmtId="0" fontId="11" fillId="5" borderId="9" xfId="0" applyFont="1" applyFill="1" applyBorder="1" applyAlignment="1" applyProtection="1">
      <alignment vertical="top" wrapText="1"/>
    </xf>
    <xf numFmtId="0" fontId="11" fillId="5" borderId="10" xfId="0" applyFont="1" applyFill="1" applyBorder="1" applyAlignment="1" applyProtection="1">
      <alignment vertical="top" wrapText="1"/>
    </xf>
    <xf numFmtId="0" fontId="7" fillId="0" borderId="0" xfId="0" applyFont="1" applyFill="1" applyProtection="1"/>
    <xf numFmtId="0" fontId="11" fillId="5" borderId="17" xfId="0" applyFont="1" applyFill="1" applyBorder="1" applyAlignment="1" applyProtection="1">
      <alignment vertical="top" wrapText="1"/>
    </xf>
    <xf numFmtId="0" fontId="11" fillId="5" borderId="14" xfId="0" applyFont="1" applyFill="1" applyBorder="1" applyAlignment="1" applyProtection="1">
      <alignment vertical="top" wrapText="1"/>
    </xf>
    <xf numFmtId="0" fontId="11" fillId="5" borderId="18" xfId="0" applyFont="1" applyFill="1" applyBorder="1" applyAlignment="1" applyProtection="1">
      <alignment vertical="top" wrapText="1"/>
    </xf>
    <xf numFmtId="0" fontId="13" fillId="5" borderId="18" xfId="0" applyFont="1" applyFill="1" applyBorder="1" applyAlignment="1" applyProtection="1">
      <alignment horizontal="right" vertical="top" wrapText="1"/>
    </xf>
    <xf numFmtId="0" fontId="13" fillId="5" borderId="14" xfId="0" applyFont="1" applyFill="1" applyBorder="1" applyAlignment="1" applyProtection="1">
      <alignment horizontal="right" vertical="top" wrapText="1"/>
    </xf>
    <xf numFmtId="0" fontId="11" fillId="5" borderId="19" xfId="0" applyFont="1" applyFill="1" applyBorder="1" applyAlignment="1" applyProtection="1">
      <alignment horizontal="right" vertical="top" wrapText="1"/>
    </xf>
    <xf numFmtId="0" fontId="11" fillId="5" borderId="8" xfId="0" applyFont="1" applyFill="1" applyBorder="1" applyAlignment="1" applyProtection="1">
      <alignment horizontal="right" vertical="top" wrapText="1"/>
    </xf>
    <xf numFmtId="0" fontId="11" fillId="5" borderId="9" xfId="0" applyFont="1" applyFill="1" applyBorder="1" applyAlignment="1" applyProtection="1">
      <alignment horizontal="right" vertical="top" wrapText="1"/>
    </xf>
    <xf numFmtId="0" fontId="11" fillId="5" borderId="10" xfId="0" applyFont="1" applyFill="1" applyBorder="1" applyAlignment="1" applyProtection="1">
      <alignment horizontal="right" vertical="top" wrapText="1"/>
    </xf>
    <xf numFmtId="0" fontId="11" fillId="5" borderId="14" xfId="0" applyFont="1" applyFill="1" applyBorder="1" applyAlignment="1" applyProtection="1">
      <alignment horizontal="right" vertical="top" wrapText="1"/>
    </xf>
    <xf numFmtId="0" fontId="11" fillId="5" borderId="3" xfId="0" applyFont="1" applyFill="1" applyBorder="1" applyAlignment="1" applyProtection="1">
      <alignment vertical="top" wrapText="1"/>
    </xf>
    <xf numFmtId="0" fontId="11" fillId="5" borderId="4" xfId="0" applyFont="1" applyFill="1" applyBorder="1" applyAlignment="1" applyProtection="1">
      <alignment horizontal="right" vertical="top" wrapText="1"/>
    </xf>
    <xf numFmtId="0" fontId="67" fillId="0" borderId="0" xfId="211" applyFont="1" applyProtection="1"/>
    <xf numFmtId="0" fontId="67" fillId="0" borderId="0" xfId="211" applyFont="1" applyAlignment="1" applyProtection="1">
      <alignment horizontal="left" wrapText="1"/>
    </xf>
    <xf numFmtId="0" fontId="67" fillId="6" borderId="1" xfId="211" applyFont="1" applyFill="1" applyBorder="1" applyAlignment="1" applyProtection="1">
      <alignment horizontal="center" wrapText="1"/>
    </xf>
    <xf numFmtId="0" fontId="67" fillId="6" borderId="25" xfId="211" applyFont="1" applyFill="1" applyBorder="1" applyAlignment="1" applyProtection="1">
      <alignment horizontal="center" wrapText="1"/>
    </xf>
    <xf numFmtId="0" fontId="71" fillId="6" borderId="113" xfId="211" applyFont="1" applyFill="1" applyBorder="1" applyAlignment="1" applyProtection="1">
      <alignment horizontal="center"/>
    </xf>
    <xf numFmtId="3" fontId="67" fillId="6" borderId="111" xfId="211" applyNumberFormat="1" applyFont="1" applyFill="1" applyBorder="1" applyAlignment="1" applyProtection="1">
      <alignment horizontal="center" vertical="center"/>
    </xf>
    <xf numFmtId="3" fontId="67" fillId="6" borderId="112" xfId="211" applyNumberFormat="1" applyFont="1" applyFill="1" applyBorder="1" applyAlignment="1" applyProtection="1">
      <alignment horizontal="center" vertical="center"/>
    </xf>
    <xf numFmtId="0" fontId="71" fillId="6" borderId="114" xfId="211" applyFont="1" applyFill="1" applyBorder="1" applyAlignment="1" applyProtection="1">
      <alignment horizontal="center"/>
    </xf>
    <xf numFmtId="3" fontId="67" fillId="6" borderId="107" xfId="211" applyNumberFormat="1" applyFont="1" applyFill="1" applyBorder="1" applyAlignment="1" applyProtection="1">
      <alignment horizontal="center" vertical="center"/>
    </xf>
    <xf numFmtId="3" fontId="67" fillId="6" borderId="108" xfId="211" applyNumberFormat="1" applyFont="1" applyFill="1" applyBorder="1" applyAlignment="1" applyProtection="1">
      <alignment horizontal="center" vertical="center"/>
    </xf>
    <xf numFmtId="0" fontId="71" fillId="6" borderId="115" xfId="211" applyFont="1" applyFill="1" applyBorder="1" applyAlignment="1" applyProtection="1">
      <alignment horizontal="center"/>
    </xf>
    <xf numFmtId="3" fontId="67" fillId="6" borderId="105" xfId="211" applyNumberFormat="1" applyFont="1" applyFill="1" applyBorder="1" applyAlignment="1" applyProtection="1">
      <alignment horizontal="center" vertical="center"/>
    </xf>
    <xf numFmtId="3" fontId="67" fillId="6" borderId="106" xfId="211" applyNumberFormat="1" applyFont="1" applyFill="1" applyBorder="1" applyAlignment="1" applyProtection="1">
      <alignment horizontal="center" vertical="center"/>
    </xf>
    <xf numFmtId="0" fontId="71" fillId="6" borderId="116" xfId="211" applyFont="1" applyFill="1" applyBorder="1" applyAlignment="1" applyProtection="1">
      <alignment horizontal="center"/>
    </xf>
    <xf numFmtId="3" fontId="67" fillId="6" borderId="109" xfId="211" applyNumberFormat="1" applyFont="1" applyFill="1" applyBorder="1" applyAlignment="1" applyProtection="1">
      <alignment horizontal="center" vertical="center"/>
    </xf>
    <xf numFmtId="3" fontId="67" fillId="6" borderId="110" xfId="211" applyNumberFormat="1" applyFont="1" applyFill="1" applyBorder="1" applyAlignment="1" applyProtection="1">
      <alignment horizontal="center" vertical="center"/>
    </xf>
    <xf numFmtId="0" fontId="67" fillId="6" borderId="100" xfId="211" applyFont="1" applyFill="1" applyBorder="1" applyAlignment="1" applyProtection="1">
      <alignment horizontal="center" wrapText="1"/>
    </xf>
    <xf numFmtId="0" fontId="67" fillId="6" borderId="99" xfId="211" applyFont="1" applyFill="1" applyBorder="1" applyAlignment="1" applyProtection="1">
      <alignment horizontal="center" wrapText="1"/>
    </xf>
    <xf numFmtId="0" fontId="71" fillId="6" borderId="17" xfId="211" applyFont="1" applyFill="1" applyBorder="1" applyAlignment="1" applyProtection="1">
      <alignment horizontal="center" vertical="center"/>
    </xf>
    <xf numFmtId="3" fontId="67" fillId="6" borderId="52" xfId="211" applyNumberFormat="1" applyFont="1" applyFill="1" applyBorder="1" applyAlignment="1" applyProtection="1">
      <alignment horizontal="center" vertical="center"/>
    </xf>
    <xf numFmtId="3" fontId="67" fillId="6" borderId="65" xfId="211" applyNumberFormat="1" applyFont="1" applyFill="1" applyBorder="1" applyAlignment="1" applyProtection="1">
      <alignment horizontal="center" vertical="center"/>
    </xf>
    <xf numFmtId="0" fontId="71" fillId="6" borderId="19" xfId="211" applyFont="1" applyFill="1" applyBorder="1" applyAlignment="1" applyProtection="1">
      <alignment horizontal="center" vertical="center"/>
    </xf>
    <xf numFmtId="3" fontId="67" fillId="6" borderId="35" xfId="211" applyNumberFormat="1" applyFont="1" applyFill="1" applyBorder="1" applyAlignment="1" applyProtection="1">
      <alignment horizontal="center" vertical="center"/>
    </xf>
    <xf numFmtId="3" fontId="67" fillId="6" borderId="20" xfId="211" applyNumberFormat="1" applyFont="1" applyFill="1" applyBorder="1" applyAlignment="1" applyProtection="1">
      <alignment horizontal="center" vertical="center"/>
    </xf>
    <xf numFmtId="0" fontId="71" fillId="6" borderId="8" xfId="211" applyFont="1" applyFill="1" applyBorder="1" applyAlignment="1" applyProtection="1">
      <alignment horizontal="center" vertical="center"/>
    </xf>
    <xf numFmtId="3" fontId="67" fillId="6" borderId="2" xfId="211" applyNumberFormat="1" applyFont="1" applyFill="1" applyBorder="1" applyAlignment="1" applyProtection="1">
      <alignment horizontal="center" vertical="center"/>
    </xf>
    <xf numFmtId="3" fontId="67" fillId="6" borderId="23" xfId="211" applyNumberFormat="1" applyFont="1" applyFill="1" applyBorder="1" applyAlignment="1" applyProtection="1">
      <alignment horizontal="center" vertical="center"/>
    </xf>
    <xf numFmtId="0" fontId="71" fillId="6" borderId="9" xfId="211" applyFont="1" applyFill="1" applyBorder="1" applyAlignment="1" applyProtection="1">
      <alignment horizontal="center" vertical="center"/>
    </xf>
    <xf numFmtId="3" fontId="67" fillId="6" borderId="1" xfId="211" applyNumberFormat="1" applyFont="1" applyFill="1" applyBorder="1" applyAlignment="1" applyProtection="1">
      <alignment horizontal="center" vertical="center"/>
    </xf>
    <xf numFmtId="3" fontId="67" fillId="6" borderId="25" xfId="211" applyNumberFormat="1" applyFont="1" applyFill="1" applyBorder="1" applyAlignment="1" applyProtection="1">
      <alignment horizontal="center" vertical="center"/>
    </xf>
    <xf numFmtId="3" fontId="67" fillId="0" borderId="111" xfId="211" applyNumberFormat="1" applyFont="1" applyBorder="1" applyAlignment="1" applyProtection="1">
      <alignment horizontal="center" vertical="center"/>
      <protection locked="0"/>
    </xf>
    <xf numFmtId="3" fontId="67" fillId="0" borderId="112" xfId="211" applyNumberFormat="1" applyFont="1" applyBorder="1" applyAlignment="1" applyProtection="1">
      <alignment horizontal="center" vertical="center"/>
      <protection locked="0"/>
    </xf>
    <xf numFmtId="3" fontId="67" fillId="0" borderId="107" xfId="211" applyNumberFormat="1" applyFont="1" applyBorder="1" applyAlignment="1" applyProtection="1">
      <alignment horizontal="center" vertical="center"/>
      <protection locked="0"/>
    </xf>
    <xf numFmtId="3" fontId="67" fillId="0" borderId="108" xfId="211" applyNumberFormat="1" applyFont="1" applyBorder="1" applyAlignment="1" applyProtection="1">
      <alignment horizontal="center" vertical="center"/>
      <protection locked="0"/>
    </xf>
    <xf numFmtId="3" fontId="67" fillId="0" borderId="105" xfId="211" applyNumberFormat="1" applyFont="1" applyBorder="1" applyAlignment="1" applyProtection="1">
      <alignment horizontal="center" vertical="center"/>
      <protection locked="0"/>
    </xf>
    <xf numFmtId="0" fontId="11" fillId="0" borderId="0" xfId="0" applyFont="1" applyFill="1" applyBorder="1" applyAlignment="1" applyProtection="1">
      <alignment horizontal="left"/>
    </xf>
    <xf numFmtId="0" fontId="11" fillId="5" borderId="83" xfId="0" applyFont="1" applyFill="1" applyBorder="1" applyAlignment="1" applyProtection="1">
      <alignment horizontal="center"/>
    </xf>
    <xf numFmtId="0" fontId="11" fillId="5" borderId="84" xfId="0" applyFont="1" applyFill="1" applyBorder="1" applyAlignment="1" applyProtection="1">
      <alignment horizontal="center"/>
    </xf>
    <xf numFmtId="0" fontId="11" fillId="5" borderId="10" xfId="0" applyFont="1" applyFill="1" applyBorder="1" applyAlignment="1" applyProtection="1">
      <alignment horizontal="left" wrapText="1"/>
    </xf>
    <xf numFmtId="0" fontId="11" fillId="5" borderId="10" xfId="0" applyFont="1" applyFill="1" applyBorder="1" applyAlignment="1" applyProtection="1">
      <alignment horizontal="left" vertical="center"/>
    </xf>
    <xf numFmtId="0" fontId="11" fillId="5" borderId="9" xfId="0" applyFont="1" applyFill="1" applyBorder="1" applyAlignment="1" applyProtection="1">
      <alignment horizontal="center" vertical="center"/>
    </xf>
    <xf numFmtId="0" fontId="11" fillId="6" borderId="9" xfId="0" applyFont="1" applyFill="1" applyBorder="1" applyAlignment="1" applyProtection="1">
      <alignment horizontal="left" vertical="center" wrapText="1"/>
    </xf>
    <xf numFmtId="0" fontId="0" fillId="0" borderId="0" xfId="0" applyBorder="1" applyProtection="1"/>
    <xf numFmtId="0" fontId="11" fillId="5" borderId="19" xfId="0" applyFont="1" applyFill="1" applyBorder="1" applyAlignment="1" applyProtection="1">
      <alignment horizontal="center" vertical="center"/>
    </xf>
    <xf numFmtId="0" fontId="11" fillId="5" borderId="19" xfId="0" applyFont="1" applyFill="1" applyBorder="1" applyAlignment="1" applyProtection="1">
      <alignment horizontal="left" vertical="center"/>
    </xf>
    <xf numFmtId="0" fontId="11" fillId="5" borderId="13" xfId="0" applyFont="1" applyFill="1" applyBorder="1" applyAlignment="1" applyProtection="1">
      <alignment horizontal="center" vertical="center"/>
    </xf>
    <xf numFmtId="0" fontId="11" fillId="5" borderId="8" xfId="0" applyFont="1" applyFill="1" applyBorder="1" applyAlignment="1" applyProtection="1">
      <alignment horizontal="center" vertical="center"/>
    </xf>
    <xf numFmtId="0" fontId="11" fillId="5" borderId="8" xfId="0" applyFont="1" applyFill="1" applyBorder="1" applyAlignment="1" applyProtection="1">
      <alignment horizontal="left" vertical="center" wrapText="1"/>
    </xf>
    <xf numFmtId="0" fontId="11" fillId="5" borderId="8" xfId="0" applyFont="1" applyFill="1" applyBorder="1" applyAlignment="1" applyProtection="1">
      <alignment horizontal="left" vertical="center"/>
    </xf>
    <xf numFmtId="0" fontId="11" fillId="5" borderId="9" xfId="0" applyFont="1" applyFill="1" applyBorder="1" applyAlignment="1" applyProtection="1">
      <alignment horizontal="left" vertical="center" wrapText="1"/>
    </xf>
    <xf numFmtId="0" fontId="6" fillId="5" borderId="17" xfId="0" applyFont="1" applyFill="1" applyBorder="1" applyAlignment="1" applyProtection="1"/>
    <xf numFmtId="0" fontId="11" fillId="5" borderId="51" xfId="0" applyFont="1" applyFill="1" applyBorder="1" applyAlignment="1" applyProtection="1">
      <alignment vertical="top" wrapText="1"/>
    </xf>
    <xf numFmtId="0" fontId="11" fillId="5" borderId="46" xfId="0" applyFont="1" applyFill="1" applyBorder="1" applyAlignment="1" applyProtection="1">
      <alignment vertical="top" wrapText="1"/>
    </xf>
    <xf numFmtId="0" fontId="11" fillId="0" borderId="51" xfId="0" applyFont="1" applyFill="1" applyBorder="1" applyAlignment="1" applyProtection="1">
      <alignment horizontal="center" vertical="top" wrapText="1"/>
    </xf>
    <xf numFmtId="0" fontId="11" fillId="0" borderId="27"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169" fontId="10" fillId="4" borderId="14" xfId="7" quotePrefix="1" applyNumberFormat="1" applyFont="1" applyFill="1" applyBorder="1" applyAlignment="1" applyProtection="1">
      <alignment horizontal="center" vertical="top" wrapText="1"/>
    </xf>
    <xf numFmtId="0" fontId="11" fillId="4" borderId="48" xfId="0" applyFont="1" applyFill="1" applyBorder="1" applyAlignment="1" applyProtection="1">
      <alignment horizontal="right" vertical="top" wrapText="1"/>
    </xf>
    <xf numFmtId="169" fontId="10" fillId="4" borderId="16" xfId="7" quotePrefix="1" applyNumberFormat="1" applyFont="1" applyFill="1" applyBorder="1" applyAlignment="1" applyProtection="1">
      <alignment horizontal="center" vertical="top" wrapText="1"/>
    </xf>
    <xf numFmtId="0" fontId="11" fillId="0" borderId="18" xfId="0" applyFont="1" applyFill="1" applyBorder="1" applyAlignment="1" applyProtection="1">
      <alignment horizontal="center" vertical="top" wrapText="1"/>
    </xf>
    <xf numFmtId="0" fontId="11" fillId="0" borderId="4" xfId="0" applyFont="1" applyFill="1" applyBorder="1" applyAlignment="1" applyProtection="1">
      <alignment horizontal="left" vertical="center" wrapText="1" indent="1"/>
    </xf>
    <xf numFmtId="3" fontId="10" fillId="0" borderId="4" xfId="1" quotePrefix="1" applyNumberFormat="1" applyFont="1" applyFill="1" applyBorder="1" applyAlignment="1" applyProtection="1">
      <alignment horizontal="center" vertical="top" wrapText="1"/>
    </xf>
    <xf numFmtId="169" fontId="10" fillId="0" borderId="4" xfId="7" quotePrefix="1" applyNumberFormat="1" applyFont="1" applyFill="1" applyBorder="1" applyAlignment="1" applyProtection="1">
      <alignment horizontal="center" vertical="top" wrapText="1"/>
    </xf>
    <xf numFmtId="0" fontId="11" fillId="5" borderId="17" xfId="0" applyFont="1" applyFill="1" applyBorder="1" applyAlignment="1" applyProtection="1">
      <alignment horizontal="center" vertical="top" wrapText="1"/>
    </xf>
    <xf numFmtId="0" fontId="11" fillId="4" borderId="6" xfId="0" applyFont="1" applyFill="1" applyBorder="1" applyAlignment="1" applyProtection="1"/>
    <xf numFmtId="0" fontId="11" fillId="4" borderId="26" xfId="0" applyFont="1" applyFill="1" applyBorder="1" applyAlignment="1" applyProtection="1">
      <alignment horizontal="right"/>
    </xf>
    <xf numFmtId="0" fontId="11" fillId="0" borderId="28" xfId="0" applyFont="1" applyFill="1" applyBorder="1" applyAlignment="1" applyProtection="1">
      <alignment horizontal="left" vertical="top" wrapText="1"/>
    </xf>
    <xf numFmtId="0" fontId="11" fillId="0" borderId="29" xfId="0" applyFont="1" applyFill="1" applyBorder="1" applyAlignment="1" applyProtection="1">
      <alignment horizontal="left" vertical="top" wrapText="1"/>
    </xf>
    <xf numFmtId="0" fontId="7" fillId="0" borderId="0" xfId="0" applyFont="1" applyProtection="1"/>
    <xf numFmtId="0" fontId="6" fillId="4" borderId="17" xfId="0" applyFont="1" applyFill="1" applyBorder="1" applyAlignment="1" applyProtection="1"/>
    <xf numFmtId="0" fontId="11" fillId="4" borderId="11" xfId="0" applyFont="1" applyFill="1" applyBorder="1" applyAlignment="1" applyProtection="1">
      <alignment vertical="top" wrapText="1"/>
    </xf>
    <xf numFmtId="0" fontId="11" fillId="4" borderId="13" xfId="0" applyFont="1" applyFill="1" applyBorder="1" applyAlignment="1" applyProtection="1">
      <alignment vertical="top" wrapText="1"/>
    </xf>
    <xf numFmtId="0" fontId="11" fillId="4" borderId="12" xfId="0" applyFont="1" applyFill="1" applyBorder="1" applyAlignment="1" applyProtection="1">
      <alignment vertical="top" wrapText="1"/>
    </xf>
    <xf numFmtId="0" fontId="11" fillId="3" borderId="0" xfId="0" quotePrefix="1" applyFont="1" applyFill="1" applyAlignment="1" applyProtection="1">
      <alignment horizontal="left"/>
    </xf>
    <xf numFmtId="0" fontId="11" fillId="4" borderId="27" xfId="0" applyFont="1" applyFill="1" applyBorder="1" applyAlignment="1" applyProtection="1">
      <alignment vertical="top" wrapText="1"/>
    </xf>
    <xf numFmtId="0" fontId="11" fillId="4" borderId="12" xfId="0" quotePrefix="1" applyFont="1" applyFill="1" applyBorder="1" applyAlignment="1" applyProtection="1">
      <alignment horizontal="left" vertical="top" wrapText="1"/>
    </xf>
    <xf numFmtId="0" fontId="11" fillId="4" borderId="17" xfId="0" quotePrefix="1" applyFont="1" applyFill="1" applyBorder="1" applyAlignment="1" applyProtection="1">
      <alignment horizontal="left" vertical="top" wrapText="1"/>
    </xf>
    <xf numFmtId="0" fontId="75" fillId="6" borderId="13" xfId="0" applyFont="1" applyFill="1" applyBorder="1" applyAlignment="1" applyProtection="1">
      <alignment horizontal="left"/>
    </xf>
    <xf numFmtId="0" fontId="75" fillId="6" borderId="8" xfId="0" applyFont="1" applyFill="1" applyBorder="1" applyAlignment="1" applyProtection="1">
      <alignment horizontal="center" vertical="center"/>
    </xf>
    <xf numFmtId="0" fontId="75" fillId="6" borderId="7" xfId="0" applyFont="1" applyFill="1" applyBorder="1" applyAlignment="1" applyProtection="1">
      <alignment horizontal="left"/>
    </xf>
    <xf numFmtId="0" fontId="75" fillId="6" borderId="47" xfId="0" applyFont="1" applyFill="1" applyBorder="1" applyAlignment="1" applyProtection="1">
      <alignment horizontal="left"/>
    </xf>
    <xf numFmtId="0" fontId="75" fillId="6" borderId="16" xfId="0" applyFont="1" applyFill="1" applyBorder="1" applyAlignment="1" applyProtection="1">
      <alignment horizontal="left"/>
    </xf>
    <xf numFmtId="0" fontId="75" fillId="6" borderId="11" xfId="0" applyFont="1" applyFill="1" applyBorder="1" applyAlignment="1" applyProtection="1">
      <alignment horizontal="center" vertical="center"/>
    </xf>
    <xf numFmtId="0" fontId="0" fillId="0" borderId="0" xfId="0" applyProtection="1"/>
    <xf numFmtId="0" fontId="69" fillId="6" borderId="132" xfId="0" applyFont="1" applyFill="1" applyBorder="1" applyAlignment="1" applyProtection="1">
      <alignment horizontal="center" wrapText="1"/>
    </xf>
    <xf numFmtId="0" fontId="69" fillId="6" borderId="123" xfId="0" applyFont="1" applyFill="1" applyBorder="1" applyAlignment="1" applyProtection="1">
      <alignment horizontal="center" wrapText="1"/>
    </xf>
    <xf numFmtId="165" fontId="69" fillId="6" borderId="136" xfId="0" applyNumberFormat="1" applyFont="1" applyFill="1" applyBorder="1" applyAlignment="1" applyProtection="1">
      <alignment horizontal="center" wrapText="1"/>
    </xf>
    <xf numFmtId="165" fontId="69" fillId="6" borderId="23" xfId="0" applyNumberFormat="1" applyFont="1" applyFill="1" applyBorder="1" applyAlignment="1" applyProtection="1">
      <alignment horizontal="center" wrapText="1"/>
    </xf>
    <xf numFmtId="0" fontId="69" fillId="6" borderId="126" xfId="0" applyFont="1" applyFill="1" applyBorder="1" applyAlignment="1" applyProtection="1">
      <alignment horizontal="center" wrapText="1"/>
    </xf>
    <xf numFmtId="0" fontId="69" fillId="6" borderId="124" xfId="0" applyFont="1" applyFill="1" applyBorder="1" applyAlignment="1" applyProtection="1">
      <alignment horizontal="center" vertical="center"/>
    </xf>
    <xf numFmtId="0" fontId="69" fillId="6" borderId="130" xfId="0" applyFont="1" applyFill="1" applyBorder="1" applyAlignment="1" applyProtection="1">
      <alignment horizontal="left" vertical="center" wrapText="1"/>
    </xf>
    <xf numFmtId="37" fontId="70" fillId="6" borderId="133" xfId="0" applyNumberFormat="1" applyFont="1" applyFill="1" applyBorder="1" applyAlignment="1" applyProtection="1">
      <alignment horizontal="center" vertical="center"/>
    </xf>
    <xf numFmtId="177" fontId="70" fillId="6" borderId="121" xfId="0" applyNumberFormat="1" applyFont="1" applyFill="1" applyBorder="1" applyAlignment="1" applyProtection="1">
      <alignment horizontal="center" vertical="center"/>
    </xf>
    <xf numFmtId="39" fontId="70" fillId="6" borderId="121" xfId="0" applyNumberFormat="1" applyFont="1" applyFill="1" applyBorder="1" applyAlignment="1" applyProtection="1">
      <alignment horizontal="center" vertical="center"/>
    </xf>
    <xf numFmtId="8" fontId="70" fillId="6" borderId="137" xfId="0" applyNumberFormat="1" applyFont="1" applyFill="1" applyBorder="1" applyAlignment="1" applyProtection="1">
      <alignment horizontal="center" vertical="center"/>
    </xf>
    <xf numFmtId="7" fontId="69" fillId="6" borderId="130" xfId="0" applyNumberFormat="1" applyFont="1" applyFill="1" applyBorder="1" applyAlignment="1" applyProtection="1">
      <alignment horizontal="center" vertical="center"/>
    </xf>
    <xf numFmtId="37" fontId="70" fillId="6" borderId="127" xfId="0" applyNumberFormat="1" applyFont="1" applyFill="1" applyBorder="1" applyAlignment="1" applyProtection="1">
      <alignment horizontal="center" vertical="center"/>
    </xf>
    <xf numFmtId="178" fontId="70" fillId="6" borderId="121" xfId="0" applyNumberFormat="1" applyFont="1" applyFill="1" applyBorder="1" applyAlignment="1" applyProtection="1">
      <alignment horizontal="center" vertical="center"/>
    </xf>
    <xf numFmtId="7" fontId="70" fillId="6" borderId="137" xfId="0" applyNumberFormat="1" applyFont="1" applyFill="1" applyBorder="1" applyAlignment="1" applyProtection="1">
      <alignment horizontal="center" vertical="center"/>
    </xf>
    <xf numFmtId="0" fontId="69" fillId="6" borderId="125" xfId="0" applyFont="1" applyFill="1" applyBorder="1" applyAlignment="1" applyProtection="1">
      <alignment horizontal="center" vertical="center"/>
    </xf>
    <xf numFmtId="0" fontId="69" fillId="6" borderId="131" xfId="0" applyFont="1" applyFill="1" applyBorder="1" applyAlignment="1" applyProtection="1">
      <alignment horizontal="left" vertical="center" wrapText="1"/>
    </xf>
    <xf numFmtId="37" fontId="70" fillId="6" borderId="134" xfId="0" applyNumberFormat="1" applyFont="1" applyFill="1" applyBorder="1" applyAlignment="1" applyProtection="1">
      <alignment horizontal="center" vertical="center"/>
    </xf>
    <xf numFmtId="177" fontId="70" fillId="6" borderId="87" xfId="0" applyNumberFormat="1" applyFont="1" applyFill="1" applyBorder="1" applyAlignment="1" applyProtection="1">
      <alignment horizontal="center" vertical="center"/>
    </xf>
    <xf numFmtId="39" fontId="70" fillId="6" borderId="87" xfId="0" applyNumberFormat="1" applyFont="1" applyFill="1" applyBorder="1" applyAlignment="1" applyProtection="1">
      <alignment horizontal="center" vertical="center"/>
    </xf>
    <xf numFmtId="8" fontId="70" fillId="6" borderId="138" xfId="0" applyNumberFormat="1" applyFont="1" applyFill="1" applyBorder="1" applyAlignment="1" applyProtection="1">
      <alignment horizontal="center" vertical="center"/>
    </xf>
    <xf numFmtId="7" fontId="69" fillId="6" borderId="131" xfId="0" applyNumberFormat="1" applyFont="1" applyFill="1" applyBorder="1" applyAlignment="1" applyProtection="1">
      <alignment horizontal="center" vertical="center"/>
    </xf>
    <xf numFmtId="37" fontId="70" fillId="6" borderId="128" xfId="0" applyNumberFormat="1" applyFont="1" applyFill="1" applyBorder="1" applyAlignment="1" applyProtection="1">
      <alignment horizontal="center" vertical="center"/>
    </xf>
    <xf numFmtId="178" fontId="70" fillId="6" borderId="87" xfId="0" applyNumberFormat="1" applyFont="1" applyFill="1" applyBorder="1" applyAlignment="1" applyProtection="1">
      <alignment horizontal="center" vertical="center"/>
    </xf>
    <xf numFmtId="7" fontId="70" fillId="6" borderId="138" xfId="0" applyNumberFormat="1" applyFont="1" applyFill="1" applyBorder="1" applyAlignment="1" applyProtection="1">
      <alignment horizontal="center" vertical="center"/>
    </xf>
    <xf numFmtId="7" fontId="69" fillId="6" borderId="131" xfId="0" applyNumberFormat="1" applyFont="1" applyFill="1" applyBorder="1" applyAlignment="1" applyProtection="1">
      <alignment horizontal="center" vertical="center" wrapText="1"/>
    </xf>
    <xf numFmtId="0" fontId="69" fillId="6" borderId="140" xfId="0" applyFont="1" applyFill="1" applyBorder="1" applyAlignment="1" applyProtection="1">
      <alignment horizontal="center" vertical="center"/>
    </xf>
    <xf numFmtId="0" fontId="69" fillId="6" borderId="141" xfId="0" applyFont="1" applyFill="1" applyBorder="1" applyAlignment="1" applyProtection="1">
      <alignment horizontal="left" vertical="center" wrapText="1"/>
    </xf>
    <xf numFmtId="37" fontId="70" fillId="6" borderId="135" xfId="0" applyNumberFormat="1" applyFont="1" applyFill="1" applyBorder="1" applyAlignment="1" applyProtection="1">
      <alignment horizontal="center" vertical="center"/>
    </xf>
    <xf numFmtId="177" fontId="70" fillId="6" borderId="122" xfId="0" applyNumberFormat="1" applyFont="1" applyFill="1" applyBorder="1" applyAlignment="1" applyProtection="1">
      <alignment horizontal="center" vertical="center"/>
    </xf>
    <xf numFmtId="39" fontId="70" fillId="6" borderId="122" xfId="0" applyNumberFormat="1" applyFont="1" applyFill="1" applyBorder="1" applyAlignment="1" applyProtection="1">
      <alignment horizontal="center" vertical="center"/>
    </xf>
    <xf numFmtId="8" fontId="70" fillId="6" borderId="139" xfId="0" applyNumberFormat="1" applyFont="1" applyFill="1" applyBorder="1" applyAlignment="1" applyProtection="1">
      <alignment horizontal="center" vertical="center"/>
    </xf>
    <xf numFmtId="7" fontId="69" fillId="6" borderId="141" xfId="0" applyNumberFormat="1" applyFont="1" applyFill="1" applyBorder="1" applyAlignment="1" applyProtection="1">
      <alignment horizontal="center" vertical="center"/>
    </xf>
    <xf numFmtId="37" fontId="70" fillId="6" borderId="129" xfId="0" applyNumberFormat="1" applyFont="1" applyFill="1" applyBorder="1" applyAlignment="1" applyProtection="1">
      <alignment horizontal="center" vertical="center"/>
    </xf>
    <xf numFmtId="178" fontId="70" fillId="6" borderId="122" xfId="0" applyNumberFormat="1" applyFont="1" applyFill="1" applyBorder="1" applyAlignment="1" applyProtection="1">
      <alignment horizontal="center" vertical="center"/>
    </xf>
    <xf numFmtId="7" fontId="70" fillId="6" borderId="139" xfId="0" applyNumberFormat="1" applyFont="1" applyFill="1" applyBorder="1" applyAlignment="1" applyProtection="1">
      <alignment horizontal="center" vertical="center"/>
    </xf>
    <xf numFmtId="7" fontId="69" fillId="6" borderId="141" xfId="0" applyNumberFormat="1" applyFont="1" applyFill="1" applyBorder="1" applyAlignment="1" applyProtection="1">
      <alignment horizontal="center" vertical="center" wrapText="1"/>
    </xf>
    <xf numFmtId="0" fontId="73" fillId="6" borderId="1" xfId="0" applyFont="1" applyFill="1" applyBorder="1" applyAlignment="1" applyProtection="1">
      <alignment horizontal="center" vertical="center"/>
    </xf>
    <xf numFmtId="0" fontId="73" fillId="6" borderId="25" xfId="0" applyFont="1" applyFill="1" applyBorder="1" applyAlignment="1" applyProtection="1">
      <alignment horizontal="left" vertical="center" wrapText="1"/>
    </xf>
    <xf numFmtId="37" fontId="69" fillId="6" borderId="142" xfId="0" applyNumberFormat="1" applyFont="1" applyFill="1" applyBorder="1" applyAlignment="1" applyProtection="1">
      <alignment horizontal="center" vertical="center"/>
    </xf>
    <xf numFmtId="38" fontId="69" fillId="6" borderId="143" xfId="0" quotePrefix="1" applyNumberFormat="1" applyFont="1" applyFill="1" applyBorder="1" applyAlignment="1" applyProtection="1">
      <alignment horizontal="center" vertical="center"/>
    </xf>
    <xf numFmtId="39" fontId="69" fillId="6" borderId="143" xfId="0" applyNumberFormat="1" applyFont="1" applyFill="1" applyBorder="1" applyAlignment="1" applyProtection="1">
      <alignment horizontal="center" vertical="center"/>
    </xf>
    <xf numFmtId="38" fontId="69" fillId="6" borderId="145" xfId="0" quotePrefix="1" applyNumberFormat="1" applyFont="1" applyFill="1" applyBorder="1" applyAlignment="1" applyProtection="1">
      <alignment horizontal="center" vertical="center"/>
    </xf>
    <xf numFmtId="7" fontId="73" fillId="6" borderId="25" xfId="0" applyNumberFormat="1" applyFont="1" applyFill="1" applyBorder="1" applyAlignment="1" applyProtection="1">
      <alignment horizontal="center" vertical="center"/>
    </xf>
    <xf numFmtId="37" fontId="69" fillId="6" borderId="144" xfId="0" applyNumberFormat="1" applyFont="1" applyFill="1" applyBorder="1" applyAlignment="1" applyProtection="1">
      <alignment horizontal="center" vertical="center"/>
    </xf>
    <xf numFmtId="37" fontId="69" fillId="6" borderId="143" xfId="0" quotePrefix="1" applyNumberFormat="1" applyFont="1" applyFill="1" applyBorder="1" applyAlignment="1" applyProtection="1">
      <alignment horizontal="center" vertical="center"/>
    </xf>
    <xf numFmtId="37" fontId="69" fillId="6" borderId="145" xfId="0" quotePrefix="1" applyNumberFormat="1" applyFont="1" applyFill="1" applyBorder="1" applyAlignment="1" applyProtection="1">
      <alignment horizontal="center" vertical="center"/>
    </xf>
    <xf numFmtId="180" fontId="70" fillId="6" borderId="121" xfId="0" applyNumberFormat="1" applyFont="1" applyFill="1" applyBorder="1" applyAlignment="1" applyProtection="1">
      <alignment horizontal="center" vertical="center"/>
    </xf>
    <xf numFmtId="180" fontId="70" fillId="6" borderId="87" xfId="0" applyNumberFormat="1" applyFont="1" applyFill="1" applyBorder="1" applyAlignment="1" applyProtection="1">
      <alignment horizontal="center" vertical="center"/>
    </xf>
    <xf numFmtId="180" fontId="70" fillId="6" borderId="122" xfId="0" applyNumberFormat="1" applyFont="1" applyFill="1" applyBorder="1" applyAlignment="1" applyProtection="1">
      <alignment horizontal="center" vertical="center"/>
    </xf>
    <xf numFmtId="179" fontId="70" fillId="6" borderId="121" xfId="0" applyNumberFormat="1" applyFont="1" applyFill="1" applyBorder="1" applyAlignment="1" applyProtection="1">
      <alignment horizontal="center" vertical="center"/>
    </xf>
    <xf numFmtId="179" fontId="70" fillId="6" borderId="87" xfId="0" applyNumberFormat="1" applyFont="1" applyFill="1" applyBorder="1" applyAlignment="1" applyProtection="1">
      <alignment horizontal="center" vertical="center"/>
    </xf>
    <xf numFmtId="179" fontId="70" fillId="6" borderId="122" xfId="0" applyNumberFormat="1" applyFont="1" applyFill="1" applyBorder="1" applyAlignment="1" applyProtection="1">
      <alignment horizontal="center" vertical="center"/>
    </xf>
    <xf numFmtId="181" fontId="70" fillId="6" borderId="121" xfId="0" applyNumberFormat="1" applyFont="1" applyFill="1" applyBorder="1" applyAlignment="1" applyProtection="1">
      <alignment horizontal="center" vertical="center"/>
    </xf>
    <xf numFmtId="6" fontId="70" fillId="6" borderId="137" xfId="0" applyNumberFormat="1" applyFont="1" applyFill="1" applyBorder="1" applyAlignment="1" applyProtection="1">
      <alignment horizontal="center" vertical="center"/>
    </xf>
    <xf numFmtId="181" fontId="70" fillId="6" borderId="87" xfId="0" applyNumberFormat="1" applyFont="1" applyFill="1" applyBorder="1" applyAlignment="1" applyProtection="1">
      <alignment horizontal="center" vertical="center"/>
    </xf>
    <xf numFmtId="6" fontId="70" fillId="6" borderId="138" xfId="0" applyNumberFormat="1" applyFont="1" applyFill="1" applyBorder="1" applyAlignment="1" applyProtection="1">
      <alignment horizontal="center" vertical="center"/>
    </xf>
    <xf numFmtId="181" fontId="70" fillId="6" borderId="122" xfId="0" applyNumberFormat="1" applyFont="1" applyFill="1" applyBorder="1" applyAlignment="1" applyProtection="1">
      <alignment horizontal="center" vertical="center"/>
    </xf>
    <xf numFmtId="6" fontId="70" fillId="6" borderId="139"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182" fontId="10" fillId="0" borderId="16" xfId="0" applyNumberFormat="1" applyFont="1" applyBorder="1" applyAlignment="1" applyProtection="1">
      <alignment horizontal="center" vertical="top" wrapText="1"/>
      <protection locked="0"/>
    </xf>
    <xf numFmtId="182" fontId="10" fillId="0" borderId="14" xfId="0" applyNumberFormat="1" applyFont="1" applyBorder="1" applyAlignment="1" applyProtection="1">
      <alignment horizontal="center" vertical="top" wrapText="1"/>
      <protection locked="0"/>
    </xf>
    <xf numFmtId="0" fontId="11" fillId="5" borderId="10" xfId="0" applyFont="1" applyFill="1" applyBorder="1" applyAlignment="1" applyProtection="1">
      <alignment horizontal="center" vertical="center"/>
    </xf>
    <xf numFmtId="0" fontId="67" fillId="0" borderId="0" xfId="211" applyFont="1" applyFill="1"/>
    <xf numFmtId="3" fontId="67" fillId="64" borderId="34" xfId="211" quotePrefix="1" applyNumberFormat="1" applyFont="1" applyFill="1" applyBorder="1" applyAlignment="1" applyProtection="1">
      <alignment horizontal="center" vertical="center"/>
    </xf>
    <xf numFmtId="3" fontId="67" fillId="64" borderId="104" xfId="211" quotePrefix="1" applyNumberFormat="1" applyFont="1" applyFill="1" applyBorder="1" applyAlignment="1" applyProtection="1">
      <alignment horizontal="center" vertical="center"/>
    </xf>
    <xf numFmtId="3" fontId="10" fillId="64" borderId="35" xfId="211" quotePrefix="1" applyNumberFormat="1" applyFont="1" applyFill="1" applyBorder="1" applyAlignment="1" applyProtection="1">
      <alignment horizontal="center" vertical="center"/>
    </xf>
    <xf numFmtId="3" fontId="10" fillId="64" borderId="20" xfId="211" quotePrefix="1" applyNumberFormat="1" applyFont="1" applyFill="1" applyBorder="1" applyAlignment="1" applyProtection="1">
      <alignment horizontal="center" vertical="center"/>
    </xf>
    <xf numFmtId="3" fontId="67" fillId="64" borderId="60" xfId="211" quotePrefix="1" applyNumberFormat="1" applyFont="1" applyFill="1" applyBorder="1" applyAlignment="1" applyProtection="1">
      <alignment horizontal="center" vertical="center"/>
    </xf>
    <xf numFmtId="3" fontId="10" fillId="64" borderId="2" xfId="211" quotePrefix="1" applyNumberFormat="1" applyFont="1" applyFill="1" applyBorder="1" applyAlignment="1" applyProtection="1">
      <alignment horizontal="center" vertical="center"/>
    </xf>
    <xf numFmtId="3" fontId="10" fillId="64" borderId="23" xfId="211" quotePrefix="1" applyNumberFormat="1" applyFont="1" applyFill="1" applyBorder="1" applyAlignment="1" applyProtection="1">
      <alignment horizontal="center" vertical="center"/>
    </xf>
    <xf numFmtId="3" fontId="67" fillId="64" borderId="47" xfId="211" quotePrefix="1" applyNumberFormat="1" applyFont="1" applyFill="1" applyBorder="1" applyAlignment="1" applyProtection="1">
      <alignment horizontal="center" vertical="center"/>
    </xf>
    <xf numFmtId="3" fontId="10" fillId="64" borderId="1" xfId="211" quotePrefix="1" applyNumberFormat="1" applyFont="1" applyFill="1" applyBorder="1" applyAlignment="1" applyProtection="1">
      <alignment horizontal="center" vertical="center"/>
    </xf>
    <xf numFmtId="3" fontId="10" fillId="64" borderId="25" xfId="211" quotePrefix="1" applyNumberFormat="1" applyFont="1" applyFill="1" applyBorder="1" applyAlignment="1" applyProtection="1">
      <alignment horizontal="center" vertical="center"/>
    </xf>
    <xf numFmtId="3" fontId="67" fillId="64" borderId="31" xfId="211" quotePrefix="1" applyNumberFormat="1" applyFont="1" applyFill="1" applyBorder="1" applyAlignment="1" applyProtection="1">
      <alignment horizontal="center" vertical="center"/>
    </xf>
    <xf numFmtId="0" fontId="11" fillId="5" borderId="147" xfId="0" applyFont="1" applyFill="1" applyBorder="1" applyAlignment="1" applyProtection="1">
      <alignment horizontal="center" vertical="center"/>
    </xf>
    <xf numFmtId="0" fontId="11" fillId="5" borderId="148" xfId="0" applyFont="1" applyFill="1" applyBorder="1" applyAlignment="1" applyProtection="1">
      <alignment horizontal="center" vertical="center"/>
    </xf>
    <xf numFmtId="0" fontId="10" fillId="64" borderId="16" xfId="0" quotePrefix="1" applyFont="1" applyFill="1" applyBorder="1" applyAlignment="1" applyProtection="1">
      <alignment horizontal="center" vertical="top" wrapText="1"/>
    </xf>
    <xf numFmtId="169" fontId="10" fillId="64" borderId="20" xfId="7" quotePrefix="1" applyNumberFormat="1" applyFont="1" applyFill="1" applyBorder="1" applyAlignment="1" applyProtection="1">
      <alignment horizontal="center" vertical="top" wrapText="1"/>
    </xf>
    <xf numFmtId="169" fontId="10" fillId="64" borderId="14" xfId="7" quotePrefix="1" applyNumberFormat="1" applyFont="1" applyFill="1" applyBorder="1" applyAlignment="1" applyProtection="1">
      <alignment horizontal="center" vertical="top" wrapText="1"/>
    </xf>
    <xf numFmtId="37" fontId="70" fillId="64" borderId="149" xfId="0" quotePrefix="1" applyNumberFormat="1" applyFont="1" applyFill="1" applyBorder="1" applyAlignment="1" applyProtection="1">
      <alignment horizontal="center" vertical="center"/>
    </xf>
    <xf numFmtId="179" fontId="70" fillId="64" borderId="150" xfId="0" applyNumberFormat="1" applyFont="1" applyFill="1" applyBorder="1" applyAlignment="1" applyProtection="1">
      <alignment horizontal="center" vertical="center"/>
    </xf>
    <xf numFmtId="39" fontId="70" fillId="64" borderId="150" xfId="0" applyNumberFormat="1" applyFont="1" applyFill="1" applyBorder="1" applyAlignment="1" applyProtection="1">
      <alignment horizontal="center" vertical="center"/>
    </xf>
    <xf numFmtId="8" fontId="70" fillId="64" borderId="150" xfId="0" applyNumberFormat="1" applyFont="1" applyFill="1" applyBorder="1" applyAlignment="1" applyProtection="1">
      <alignment horizontal="center" vertical="center"/>
    </xf>
    <xf numFmtId="7" fontId="69" fillId="64" borderId="150" xfId="0" applyNumberFormat="1" applyFont="1" applyFill="1" applyBorder="1" applyAlignment="1" applyProtection="1">
      <alignment horizontal="center" vertical="center"/>
    </xf>
    <xf numFmtId="37" fontId="70" fillId="64" borderId="150" xfId="0" quotePrefix="1" applyNumberFormat="1" applyFont="1" applyFill="1" applyBorder="1" applyAlignment="1" applyProtection="1">
      <alignment horizontal="center" vertical="center"/>
    </xf>
    <xf numFmtId="7" fontId="69" fillId="64" borderId="151" xfId="0" applyNumberFormat="1" applyFont="1" applyFill="1" applyBorder="1" applyAlignment="1" applyProtection="1">
      <alignment horizontal="center" vertical="center"/>
    </xf>
    <xf numFmtId="37" fontId="70" fillId="64" borderId="27" xfId="0" applyNumberFormat="1" applyFont="1" applyFill="1" applyBorder="1" applyAlignment="1" applyProtection="1">
      <alignment horizontal="center" vertical="center"/>
    </xf>
    <xf numFmtId="179" fontId="70" fillId="64" borderId="0" xfId="0" applyNumberFormat="1" applyFont="1" applyFill="1" applyBorder="1" applyAlignment="1" applyProtection="1">
      <alignment horizontal="center" vertical="center"/>
    </xf>
    <xf numFmtId="39" fontId="70" fillId="64" borderId="0" xfId="0" applyNumberFormat="1" applyFont="1" applyFill="1" applyBorder="1" applyAlignment="1" applyProtection="1">
      <alignment horizontal="center" vertical="center"/>
    </xf>
    <xf numFmtId="8" fontId="70" fillId="64" borderId="0" xfId="0" applyNumberFormat="1" applyFont="1" applyFill="1" applyBorder="1" applyAlignment="1" applyProtection="1">
      <alignment horizontal="center" vertical="center"/>
    </xf>
    <xf numFmtId="7" fontId="69" fillId="64" borderId="0" xfId="0" applyNumberFormat="1" applyFont="1" applyFill="1" applyBorder="1" applyAlignment="1" applyProtection="1">
      <alignment horizontal="center" vertical="center"/>
    </xf>
    <xf numFmtId="37" fontId="70" fillId="64" borderId="0" xfId="0" applyNumberFormat="1" applyFont="1" applyFill="1" applyBorder="1" applyAlignment="1" applyProtection="1">
      <alignment horizontal="center" vertical="center"/>
    </xf>
    <xf numFmtId="7" fontId="69" fillId="64" borderId="18" xfId="0" applyNumberFormat="1" applyFont="1" applyFill="1" applyBorder="1" applyAlignment="1" applyProtection="1">
      <alignment horizontal="center" vertical="center"/>
    </xf>
    <xf numFmtId="37" fontId="70" fillId="64" borderId="152" xfId="0" applyNumberFormat="1" applyFont="1" applyFill="1" applyBorder="1" applyAlignment="1" applyProtection="1">
      <alignment horizontal="center" vertical="center"/>
    </xf>
    <xf numFmtId="179" fontId="70" fillId="64" borderId="56" xfId="0" applyNumberFormat="1" applyFont="1" applyFill="1" applyBorder="1" applyAlignment="1" applyProtection="1">
      <alignment horizontal="center" vertical="center"/>
    </xf>
    <xf numFmtId="39" fontId="70" fillId="64" borderId="56" xfId="0" applyNumberFormat="1" applyFont="1" applyFill="1" applyBorder="1" applyAlignment="1" applyProtection="1">
      <alignment horizontal="center" vertical="center"/>
    </xf>
    <xf numFmtId="8" fontId="70" fillId="64" borderId="56" xfId="0" applyNumberFormat="1" applyFont="1" applyFill="1" applyBorder="1" applyAlignment="1" applyProtection="1">
      <alignment horizontal="center" vertical="center"/>
    </xf>
    <xf numFmtId="7" fontId="69" fillId="64" borderId="56" xfId="0" applyNumberFormat="1" applyFont="1" applyFill="1" applyBorder="1" applyAlignment="1" applyProtection="1">
      <alignment horizontal="center" vertical="center"/>
    </xf>
    <xf numFmtId="37" fontId="70" fillId="64" borderId="56" xfId="0" applyNumberFormat="1" applyFont="1" applyFill="1" applyBorder="1" applyAlignment="1" applyProtection="1">
      <alignment horizontal="center" vertical="center"/>
    </xf>
    <xf numFmtId="7" fontId="69" fillId="64" borderId="153" xfId="0" applyNumberFormat="1" applyFont="1" applyFill="1" applyBorder="1" applyAlignment="1" applyProtection="1">
      <alignment horizontal="center" vertical="center"/>
    </xf>
    <xf numFmtId="37" fontId="70" fillId="64" borderId="154" xfId="0" applyNumberFormat="1" applyFont="1" applyFill="1" applyBorder="1" applyAlignment="1" applyProtection="1">
      <alignment horizontal="center" vertical="center"/>
    </xf>
    <xf numFmtId="179" fontId="70" fillId="64" borderId="155" xfId="0" applyNumberFormat="1" applyFont="1" applyFill="1" applyBorder="1" applyAlignment="1" applyProtection="1">
      <alignment horizontal="center" vertical="center"/>
    </xf>
    <xf numFmtId="39" fontId="70" fillId="64" borderId="155" xfId="0" applyNumberFormat="1" applyFont="1" applyFill="1" applyBorder="1" applyAlignment="1" applyProtection="1">
      <alignment horizontal="center" vertical="center"/>
    </xf>
    <xf numFmtId="8" fontId="70" fillId="64" borderId="155" xfId="0" applyNumberFormat="1" applyFont="1" applyFill="1" applyBorder="1" applyAlignment="1" applyProtection="1">
      <alignment horizontal="center" vertical="center"/>
    </xf>
    <xf numFmtId="7" fontId="69" fillId="64" borderId="155" xfId="0" applyNumberFormat="1" applyFont="1" applyFill="1" applyBorder="1" applyAlignment="1" applyProtection="1">
      <alignment horizontal="center" vertical="center"/>
    </xf>
    <xf numFmtId="37" fontId="70" fillId="64" borderId="155" xfId="0" applyNumberFormat="1" applyFont="1" applyFill="1" applyBorder="1" applyAlignment="1" applyProtection="1">
      <alignment horizontal="center" vertical="center"/>
    </xf>
    <xf numFmtId="7" fontId="69" fillId="64" borderId="156" xfId="0" applyNumberFormat="1" applyFont="1" applyFill="1" applyBorder="1" applyAlignment="1" applyProtection="1">
      <alignment horizontal="center" vertical="center"/>
    </xf>
    <xf numFmtId="0" fontId="10" fillId="5" borderId="28" xfId="0" applyFont="1" applyFill="1" applyBorder="1" applyAlignment="1" applyProtection="1">
      <alignment horizontal="left" vertical="top" wrapText="1" indent="1"/>
    </xf>
    <xf numFmtId="0" fontId="11" fillId="0" borderId="49" xfId="0" applyFont="1" applyFill="1" applyBorder="1" applyAlignment="1" applyProtection="1">
      <alignment horizontal="center"/>
    </xf>
    <xf numFmtId="0" fontId="11" fillId="0" borderId="29" xfId="0" applyFont="1" applyFill="1" applyBorder="1" applyAlignment="1" applyProtection="1">
      <alignment horizontal="center"/>
    </xf>
    <xf numFmtId="0" fontId="12" fillId="0" borderId="0" xfId="0" applyFont="1" applyProtection="1">
      <protection locked="0"/>
    </xf>
    <xf numFmtId="3" fontId="67" fillId="6" borderId="4" xfId="211" applyNumberFormat="1" applyFont="1" applyFill="1" applyBorder="1" applyAlignment="1" applyProtection="1">
      <alignment horizontal="center" vertical="center"/>
    </xf>
    <xf numFmtId="0" fontId="11" fillId="5" borderId="17" xfId="0" applyFont="1" applyFill="1" applyBorder="1" applyAlignment="1" applyProtection="1">
      <alignment horizontal="center" wrapText="1"/>
    </xf>
    <xf numFmtId="0" fontId="11" fillId="5" borderId="14" xfId="0" applyFont="1" applyFill="1" applyBorder="1" applyAlignment="1" applyProtection="1">
      <alignment horizontal="center" wrapText="1"/>
    </xf>
    <xf numFmtId="0" fontId="7" fillId="0" borderId="0" xfId="0" applyFont="1" applyFill="1" applyBorder="1" applyAlignment="1" applyProtection="1">
      <alignment horizontal="left"/>
    </xf>
    <xf numFmtId="165" fontId="7" fillId="0" borderId="0" xfId="0" applyNumberFormat="1" applyFont="1" applyAlignment="1" applyProtection="1">
      <alignment horizontal="center"/>
    </xf>
    <xf numFmtId="0" fontId="70" fillId="0" borderId="0" xfId="0" applyFont="1" applyProtection="1"/>
    <xf numFmtId="0" fontId="70" fillId="0" borderId="0" xfId="0" applyFont="1" applyFill="1" applyBorder="1" applyAlignment="1" applyProtection="1">
      <alignment horizontal="left"/>
    </xf>
    <xf numFmtId="165" fontId="70" fillId="0" borderId="0" xfId="0" applyNumberFormat="1" applyFont="1" applyAlignment="1" applyProtection="1">
      <alignment horizontal="center"/>
    </xf>
    <xf numFmtId="0" fontId="6" fillId="0" borderId="0" xfId="0" applyFont="1" applyFill="1" applyBorder="1" applyAlignment="1" applyProtection="1"/>
    <xf numFmtId="0" fontId="7" fillId="0" borderId="0" xfId="0" applyFont="1" applyFill="1" applyBorder="1" applyAlignment="1" applyProtection="1">
      <alignment horizontal="left" vertical="center"/>
    </xf>
    <xf numFmtId="0" fontId="11" fillId="0" borderId="27" xfId="0" applyFont="1" applyFill="1" applyBorder="1" applyAlignment="1" applyProtection="1">
      <alignment horizontal="center" vertical="top" wrapText="1"/>
      <protection locked="0"/>
    </xf>
    <xf numFmtId="0" fontId="11" fillId="0" borderId="18" xfId="0" applyFont="1" applyFill="1" applyBorder="1" applyAlignment="1" applyProtection="1">
      <alignment horizontal="center" vertical="top" wrapText="1"/>
      <protection locked="0"/>
    </xf>
    <xf numFmtId="0" fontId="11" fillId="4" borderId="6" xfId="0" applyFont="1" applyFill="1" applyBorder="1" applyAlignment="1" applyProtection="1">
      <alignment vertical="top" wrapText="1"/>
      <protection locked="0"/>
    </xf>
    <xf numFmtId="0" fontId="11" fillId="4" borderId="48" xfId="0" applyFont="1" applyFill="1" applyBorder="1" applyAlignment="1" applyProtection="1">
      <alignment horizontal="right" vertical="top" wrapText="1"/>
      <protection locked="0"/>
    </xf>
    <xf numFmtId="169" fontId="10" fillId="4" borderId="16" xfId="7" quotePrefix="1" applyNumberFormat="1" applyFont="1" applyFill="1" applyBorder="1" applyAlignment="1" applyProtection="1">
      <alignment horizontal="center" vertical="top" wrapText="1"/>
      <protection locked="0"/>
    </xf>
    <xf numFmtId="169" fontId="10" fillId="4" borderId="14" xfId="7" quotePrefix="1" applyNumberFormat="1" applyFont="1" applyFill="1" applyBorder="1" applyAlignment="1" applyProtection="1">
      <alignment horizontal="center" vertical="top" wrapText="1"/>
      <protection locked="0"/>
    </xf>
    <xf numFmtId="0" fontId="11" fillId="4" borderId="6" xfId="0" applyFont="1" applyFill="1" applyBorder="1" applyAlignment="1" applyProtection="1">
      <protection locked="0"/>
    </xf>
    <xf numFmtId="0" fontId="11" fillId="4" borderId="26" xfId="0" applyFont="1" applyFill="1" applyBorder="1" applyAlignment="1" applyProtection="1">
      <alignment horizontal="right"/>
      <protection locked="0"/>
    </xf>
    <xf numFmtId="169" fontId="10" fillId="64" borderId="20" xfId="7" quotePrefix="1" applyNumberFormat="1" applyFont="1" applyFill="1" applyBorder="1" applyAlignment="1" applyProtection="1">
      <alignment horizontal="center" vertical="top" wrapText="1"/>
      <protection locked="0"/>
    </xf>
    <xf numFmtId="0" fontId="7" fillId="0" borderId="0" xfId="0" applyFont="1" applyProtection="1">
      <protection locked="0"/>
    </xf>
    <xf numFmtId="3" fontId="71" fillId="64" borderId="109" xfId="211" quotePrefix="1" applyNumberFormat="1" applyFont="1" applyFill="1" applyBorder="1" applyAlignment="1" applyProtection="1">
      <alignment horizontal="center" vertical="center"/>
    </xf>
    <xf numFmtId="3" fontId="71" fillId="64" borderId="110" xfId="211" quotePrefix="1" applyNumberFormat="1" applyFont="1" applyFill="1" applyBorder="1" applyAlignment="1" applyProtection="1">
      <alignment horizontal="center" vertical="center"/>
    </xf>
    <xf numFmtId="0" fontId="71" fillId="64" borderId="11" xfId="211" quotePrefix="1" applyFont="1" applyFill="1" applyBorder="1" applyAlignment="1" applyProtection="1">
      <alignment horizontal="center" vertical="center"/>
    </xf>
    <xf numFmtId="3" fontId="71" fillId="64" borderId="109" xfId="211" applyNumberFormat="1" applyFont="1" applyFill="1" applyBorder="1" applyAlignment="1" applyProtection="1">
      <alignment horizontal="center" vertical="center"/>
    </xf>
    <xf numFmtId="3" fontId="71" fillId="64" borderId="110" xfId="211" applyNumberFormat="1" applyFont="1" applyFill="1" applyBorder="1" applyAlignment="1" applyProtection="1">
      <alignment horizontal="center" vertical="center"/>
    </xf>
    <xf numFmtId="0" fontId="67" fillId="65" borderId="0" xfId="211" applyFont="1" applyFill="1"/>
    <xf numFmtId="3" fontId="71" fillId="6" borderId="109" xfId="211" applyNumberFormat="1" applyFont="1" applyFill="1" applyBorder="1" applyAlignment="1" applyProtection="1">
      <alignment horizontal="center" vertical="center"/>
    </xf>
    <xf numFmtId="3" fontId="71" fillId="6" borderId="110" xfId="211" applyNumberFormat="1" applyFont="1" applyFill="1" applyBorder="1" applyAlignment="1" applyProtection="1">
      <alignment horizontal="center" vertical="center"/>
    </xf>
    <xf numFmtId="0" fontId="71" fillId="5" borderId="116" xfId="211" applyFont="1" applyFill="1" applyBorder="1" applyAlignment="1" applyProtection="1">
      <alignment horizontal="center" vertical="center"/>
    </xf>
    <xf numFmtId="0" fontId="11" fillId="5" borderId="19" xfId="0" applyFont="1" applyFill="1" applyBorder="1" applyAlignment="1" applyProtection="1">
      <alignment horizontal="left" vertical="center" wrapText="1"/>
    </xf>
    <xf numFmtId="0" fontId="11" fillId="66" borderId="11" xfId="0" applyFont="1" applyFill="1" applyBorder="1" applyAlignment="1" applyProtection="1">
      <alignment vertical="top" wrapText="1"/>
    </xf>
    <xf numFmtId="0" fontId="75" fillId="0" borderId="0" xfId="0" applyFont="1" applyFill="1" applyBorder="1" applyAlignment="1" applyProtection="1">
      <alignment horizontal="center" vertical="center"/>
    </xf>
    <xf numFmtId="0" fontId="75" fillId="0" borderId="0" xfId="0" applyFont="1" applyFill="1" applyBorder="1" applyAlignment="1" applyProtection="1">
      <alignment horizontal="left" vertical="center" wrapText="1"/>
    </xf>
    <xf numFmtId="169" fontId="76" fillId="0" borderId="0" xfId="0" applyNumberFormat="1" applyFont="1" applyFill="1" applyBorder="1" applyAlignment="1" applyProtection="1">
      <alignment horizontal="center" vertical="center"/>
    </xf>
    <xf numFmtId="0" fontId="75" fillId="6" borderId="49" xfId="0" applyFont="1" applyFill="1" applyBorder="1" applyAlignment="1" applyProtection="1">
      <alignment horizontal="left" vertical="center" wrapText="1"/>
    </xf>
    <xf numFmtId="0" fontId="75" fillId="6" borderId="46" xfId="0" applyFont="1" applyFill="1" applyBorder="1" applyAlignment="1" applyProtection="1">
      <alignment horizontal="left" vertical="center" wrapText="1"/>
    </xf>
    <xf numFmtId="0" fontId="73" fillId="0" borderId="0" xfId="0" applyFont="1" applyFill="1" applyBorder="1" applyAlignment="1" applyProtection="1">
      <alignment horizontal="center" vertical="center"/>
    </xf>
    <xf numFmtId="0" fontId="73" fillId="0" borderId="0" xfId="0" applyFont="1" applyFill="1" applyBorder="1" applyAlignment="1" applyProtection="1">
      <alignment horizontal="left" vertical="center" wrapText="1"/>
    </xf>
    <xf numFmtId="37" fontId="69" fillId="0" borderId="0" xfId="0" applyNumberFormat="1" applyFont="1" applyFill="1" applyBorder="1" applyAlignment="1" applyProtection="1">
      <alignment horizontal="center" vertical="center"/>
    </xf>
    <xf numFmtId="38" fontId="69" fillId="0" borderId="0" xfId="0" quotePrefix="1" applyNumberFormat="1" applyFont="1" applyFill="1" applyBorder="1" applyAlignment="1" applyProtection="1">
      <alignment horizontal="center" vertical="center"/>
    </xf>
    <xf numFmtId="39" fontId="69" fillId="0" borderId="0" xfId="0" applyNumberFormat="1" applyFont="1" applyFill="1" applyBorder="1" applyAlignment="1" applyProtection="1">
      <alignment horizontal="center" vertical="center"/>
    </xf>
    <xf numFmtId="7" fontId="73" fillId="0" borderId="0" xfId="0" applyNumberFormat="1" applyFont="1" applyFill="1" applyBorder="1" applyAlignment="1" applyProtection="1">
      <alignment horizontal="center" vertical="center"/>
    </xf>
    <xf numFmtId="37" fontId="69" fillId="0" borderId="0" xfId="0" quotePrefix="1"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67" fillId="0" borderId="0" xfId="211" applyFont="1" applyFill="1" applyBorder="1" applyAlignment="1" applyProtection="1">
      <alignment vertical="center" wrapText="1"/>
    </xf>
    <xf numFmtId="0" fontId="6" fillId="0" borderId="49" xfId="0" applyFont="1" applyFill="1" applyBorder="1" applyAlignment="1" applyProtection="1">
      <alignment horizontal="center"/>
    </xf>
    <xf numFmtId="0" fontId="71" fillId="0" borderId="29" xfId="211" applyFont="1" applyBorder="1" applyAlignment="1" applyProtection="1">
      <alignment horizontal="left" vertical="center" wrapText="1"/>
    </xf>
    <xf numFmtId="0" fontId="11" fillId="5" borderId="11" xfId="0" applyFont="1" applyFill="1" applyBorder="1" applyAlignment="1" applyProtection="1">
      <alignment horizontal="center" vertical="center"/>
    </xf>
    <xf numFmtId="0" fontId="11" fillId="5" borderId="11" xfId="0" applyFont="1" applyFill="1" applyBorder="1" applyAlignment="1" applyProtection="1">
      <alignment horizontal="left" vertical="center" wrapText="1"/>
    </xf>
    <xf numFmtId="0" fontId="71" fillId="5" borderId="19" xfId="211" applyFont="1" applyFill="1" applyBorder="1" applyAlignment="1" applyProtection="1">
      <alignment vertical="center" wrapText="1"/>
    </xf>
    <xf numFmtId="0" fontId="75" fillId="6" borderId="9" xfId="0" applyFont="1" applyFill="1" applyBorder="1" applyAlignment="1" applyProtection="1">
      <alignment horizontal="center" vertical="center"/>
    </xf>
    <xf numFmtId="0" fontId="75" fillId="0" borderId="49" xfId="0" applyFont="1" applyFill="1" applyBorder="1" applyAlignment="1" applyProtection="1">
      <alignment horizontal="center" vertical="center"/>
    </xf>
    <xf numFmtId="0" fontId="75" fillId="0" borderId="49" xfId="0" applyFont="1" applyFill="1" applyBorder="1" applyAlignment="1" applyProtection="1">
      <alignment horizontal="left" vertical="center" wrapText="1"/>
    </xf>
    <xf numFmtId="0" fontId="10" fillId="0" borderId="56" xfId="100" applyBorder="1" applyAlignment="1" applyProtection="1">
      <alignment horizontal="center" vertical="center"/>
    </xf>
    <xf numFmtId="0" fontId="10" fillId="0" borderId="159" xfId="100" applyBorder="1" applyAlignment="1" applyProtection="1">
      <alignment vertical="center"/>
    </xf>
    <xf numFmtId="2" fontId="10" fillId="0" borderId="159" xfId="100" applyNumberFormat="1" applyBorder="1" applyAlignment="1" applyProtection="1">
      <alignment horizontal="center" vertical="center"/>
    </xf>
    <xf numFmtId="0" fontId="10" fillId="0" borderId="159" xfId="100" applyBorder="1" applyAlignment="1" applyProtection="1">
      <alignment horizontal="center" vertical="center"/>
    </xf>
    <xf numFmtId="0" fontId="10" fillId="0" borderId="150" xfId="100" applyBorder="1" applyAlignment="1" applyProtection="1">
      <alignment vertical="center"/>
    </xf>
    <xf numFmtId="2" fontId="10" fillId="0" borderId="150" xfId="100" applyNumberFormat="1" applyBorder="1" applyAlignment="1" applyProtection="1">
      <alignment horizontal="center" vertical="center"/>
    </xf>
    <xf numFmtId="0" fontId="10" fillId="0" borderId="150" xfId="100" applyBorder="1" applyAlignment="1" applyProtection="1">
      <alignment horizontal="center" vertical="center"/>
    </xf>
    <xf numFmtId="0" fontId="10" fillId="0" borderId="160" xfId="100" applyFont="1" applyBorder="1" applyAlignment="1" applyProtection="1">
      <alignment vertical="center"/>
    </xf>
    <xf numFmtId="2" fontId="10" fillId="0" borderId="160" xfId="100" applyNumberFormat="1" applyBorder="1" applyAlignment="1" applyProtection="1">
      <alignment horizontal="center" vertical="center"/>
    </xf>
    <xf numFmtId="0" fontId="10" fillId="0" borderId="160" xfId="100" applyBorder="1" applyAlignment="1" applyProtection="1">
      <alignment horizontal="center" vertical="center"/>
    </xf>
    <xf numFmtId="0" fontId="10" fillId="0" borderId="160" xfId="100" applyBorder="1" applyAlignment="1" applyProtection="1">
      <alignment vertical="center"/>
    </xf>
    <xf numFmtId="3" fontId="10" fillId="0" borderId="160" xfId="100" applyNumberFormat="1" applyBorder="1" applyAlignment="1" applyProtection="1">
      <alignment horizontal="center" vertical="center"/>
    </xf>
    <xf numFmtId="3" fontId="10" fillId="0" borderId="159" xfId="100" applyNumberFormat="1" applyBorder="1" applyAlignment="1" applyProtection="1">
      <alignment horizontal="center" vertical="center"/>
    </xf>
    <xf numFmtId="3" fontId="10" fillId="0" borderId="150" xfId="100" applyNumberFormat="1" applyBorder="1" applyAlignment="1" applyProtection="1">
      <alignment horizontal="center" vertical="center"/>
    </xf>
    <xf numFmtId="0" fontId="10" fillId="0" borderId="172" xfId="100" applyBorder="1" applyAlignment="1" applyProtection="1">
      <alignment vertical="center"/>
    </xf>
    <xf numFmtId="0" fontId="10" fillId="0" borderId="172" xfId="100" applyBorder="1" applyAlignment="1" applyProtection="1">
      <alignment horizontal="center" vertical="center"/>
    </xf>
    <xf numFmtId="3" fontId="10" fillId="0" borderId="172" xfId="100" applyNumberFormat="1" applyBorder="1" applyAlignment="1" applyProtection="1">
      <alignment horizontal="center" vertical="center"/>
    </xf>
    <xf numFmtId="183" fontId="10" fillId="0" borderId="160" xfId="100" applyNumberFormat="1" applyFill="1" applyBorder="1" applyAlignment="1" applyProtection="1">
      <alignment horizontal="center" vertical="center"/>
    </xf>
    <xf numFmtId="183" fontId="10" fillId="0" borderId="159" xfId="100" applyNumberFormat="1" applyFill="1" applyBorder="1" applyAlignment="1" applyProtection="1">
      <alignment horizontal="center" vertical="center"/>
    </xf>
    <xf numFmtId="183" fontId="10" fillId="0" borderId="150" xfId="100" applyNumberFormat="1" applyFill="1" applyBorder="1" applyAlignment="1" applyProtection="1">
      <alignment horizontal="center" vertical="center"/>
    </xf>
    <xf numFmtId="0" fontId="71" fillId="64" borderId="0" xfId="211" quotePrefix="1" applyFont="1" applyFill="1" applyBorder="1" applyAlignment="1" applyProtection="1">
      <alignment horizontal="center" vertical="center"/>
    </xf>
    <xf numFmtId="3" fontId="71" fillId="64" borderId="0" xfId="211" applyNumberFormat="1" applyFont="1" applyFill="1" applyBorder="1" applyAlignment="1" applyProtection="1">
      <alignment horizontal="center" vertical="center"/>
    </xf>
    <xf numFmtId="0" fontId="71" fillId="64" borderId="0" xfId="211" quotePrefix="1" applyFont="1" applyFill="1" applyBorder="1" applyAlignment="1" applyProtection="1">
      <alignment horizontal="center" vertical="center" wrapText="1"/>
    </xf>
    <xf numFmtId="0" fontId="71" fillId="64" borderId="0" xfId="211" applyFont="1" applyFill="1" applyBorder="1" applyAlignment="1" applyProtection="1">
      <alignment horizontal="center" vertical="center" wrapText="1"/>
    </xf>
    <xf numFmtId="0" fontId="71" fillId="5" borderId="3" xfId="211" applyFont="1" applyFill="1" applyBorder="1" applyAlignment="1" applyProtection="1">
      <alignment horizontal="center" vertical="center"/>
    </xf>
    <xf numFmtId="3" fontId="10" fillId="5" borderId="85" xfId="0" applyNumberFormat="1" applyFont="1" applyFill="1" applyBorder="1" applyAlignment="1" applyProtection="1">
      <alignment horizontal="center"/>
    </xf>
    <xf numFmtId="3" fontId="10" fillId="5" borderId="86" xfId="0" applyNumberFormat="1" applyFont="1" applyFill="1" applyBorder="1" applyAlignment="1" applyProtection="1">
      <alignment horizontal="center"/>
    </xf>
    <xf numFmtId="168" fontId="10" fillId="3" borderId="46" xfId="4" applyNumberFormat="1" applyFont="1" applyFill="1" applyBorder="1" applyAlignment="1" applyProtection="1">
      <alignment horizontal="center" vertical="center" wrapText="1"/>
      <protection locked="0"/>
    </xf>
    <xf numFmtId="0" fontId="11" fillId="86" borderId="39" xfId="4378"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0" fillId="0" borderId="16" xfId="0" applyFont="1" applyFill="1" applyBorder="1" applyAlignment="1" applyProtection="1">
      <alignment horizontal="center" vertical="top" wrapText="1"/>
      <protection locked="0"/>
    </xf>
    <xf numFmtId="16" fontId="10" fillId="0" borderId="11" xfId="0" quotePrefix="1" applyNumberFormat="1" applyFont="1" applyBorder="1" applyAlignment="1" applyProtection="1">
      <alignment horizontal="center" vertical="top" wrapText="1"/>
      <protection locked="0"/>
    </xf>
    <xf numFmtId="0" fontId="10" fillId="0" borderId="14" xfId="0" quotePrefix="1"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1" fillId="4" borderId="7" xfId="0" applyFont="1" applyFill="1" applyBorder="1" applyAlignment="1" applyProtection="1">
      <alignment vertical="top" wrapText="1"/>
    </xf>
    <xf numFmtId="0" fontId="11" fillId="4" borderId="7" xfId="0" quotePrefix="1" applyFont="1" applyFill="1" applyBorder="1" applyAlignment="1" applyProtection="1">
      <alignment horizontal="left" vertical="top" wrapText="1"/>
    </xf>
    <xf numFmtId="0" fontId="11" fillId="4" borderId="30" xfId="0" applyFont="1" applyFill="1" applyBorder="1" applyAlignment="1" applyProtection="1">
      <alignment vertical="top" wrapText="1"/>
    </xf>
    <xf numFmtId="0" fontId="10" fillId="3" borderId="8" xfId="0" applyFont="1" applyFill="1" applyBorder="1" applyAlignment="1" applyProtection="1">
      <alignment vertical="top" wrapText="1"/>
      <protection locked="0"/>
    </xf>
    <xf numFmtId="0" fontId="11" fillId="65" borderId="0" xfId="0" applyFont="1" applyFill="1" applyBorder="1" applyAlignment="1" applyProtection="1">
      <alignment vertical="top" wrapText="1"/>
    </xf>
    <xf numFmtId="0" fontId="11" fillId="65" borderId="0" xfId="0" applyFont="1" applyFill="1" applyBorder="1" applyAlignment="1" applyProtection="1">
      <alignment horizontal="left" vertical="top" wrapText="1"/>
    </xf>
    <xf numFmtId="0" fontId="10" fillId="4" borderId="11" xfId="0" applyFont="1" applyFill="1" applyBorder="1" applyAlignment="1" applyProtection="1">
      <alignment vertical="top" wrapText="1"/>
    </xf>
    <xf numFmtId="0" fontId="10" fillId="3" borderId="48" xfId="0" applyFont="1" applyFill="1" applyBorder="1" applyAlignment="1" applyProtection="1">
      <alignment horizontal="center" vertical="top" wrapText="1"/>
      <protection locked="0"/>
    </xf>
    <xf numFmtId="0" fontId="10" fillId="3" borderId="47" xfId="0" applyFont="1" applyFill="1" applyBorder="1" applyAlignment="1" applyProtection="1">
      <alignment horizontal="center" vertical="top" wrapText="1"/>
      <protection locked="0"/>
    </xf>
    <xf numFmtId="0" fontId="10" fillId="3" borderId="31" xfId="0" applyFont="1" applyFill="1" applyBorder="1" applyAlignment="1" applyProtection="1">
      <alignment horizontal="center" vertical="top" wrapText="1"/>
      <protection locked="0"/>
    </xf>
    <xf numFmtId="0" fontId="11" fillId="4" borderId="19" xfId="0" applyFont="1" applyFill="1" applyBorder="1" applyAlignment="1" applyProtection="1">
      <alignment horizontal="center" vertical="top" wrapText="1"/>
    </xf>
    <xf numFmtId="0" fontId="11" fillId="4" borderId="8" xfId="0" applyFont="1" applyFill="1" applyBorder="1" applyAlignment="1" applyProtection="1">
      <alignment horizontal="center" vertical="top" wrapText="1"/>
    </xf>
    <xf numFmtId="0" fontId="11" fillId="4" borderId="9" xfId="0" applyFont="1" applyFill="1" applyBorder="1" applyAlignment="1" applyProtection="1">
      <alignment horizontal="center" vertical="top" wrapText="1"/>
    </xf>
    <xf numFmtId="0" fontId="11" fillId="4" borderId="17" xfId="0" applyFont="1" applyFill="1" applyBorder="1" applyAlignment="1" applyProtection="1">
      <alignment horizontal="center" vertical="top" wrapText="1"/>
    </xf>
    <xf numFmtId="0" fontId="10" fillId="3" borderId="19" xfId="0" applyFont="1" applyFill="1" applyBorder="1" applyAlignment="1" applyProtection="1">
      <alignment vertical="top" wrapText="1"/>
      <protection locked="0"/>
    </xf>
    <xf numFmtId="0" fontId="11" fillId="0" borderId="10" xfId="0" applyFont="1" applyFill="1" applyBorder="1" applyAlignment="1" applyProtection="1">
      <alignment vertical="top" wrapText="1"/>
      <protection locked="0"/>
    </xf>
    <xf numFmtId="3" fontId="67" fillId="0" borderId="52" xfId="211" applyNumberFormat="1" applyFont="1" applyBorder="1" applyAlignment="1" applyProtection="1">
      <alignment horizontal="center" vertical="center"/>
      <protection locked="0"/>
    </xf>
    <xf numFmtId="3" fontId="67" fillId="0" borderId="65" xfId="211" applyNumberFormat="1" applyFont="1" applyBorder="1" applyAlignment="1" applyProtection="1">
      <alignment horizontal="center" vertical="center"/>
      <protection locked="0"/>
    </xf>
    <xf numFmtId="0" fontId="67" fillId="0" borderId="0" xfId="211" applyFont="1" applyAlignment="1">
      <alignment vertical="center"/>
    </xf>
    <xf numFmtId="0" fontId="7" fillId="2" borderId="0" xfId="0" applyFont="1" applyFill="1" applyAlignment="1">
      <alignment horizontal="left"/>
    </xf>
    <xf numFmtId="0" fontId="7" fillId="0" borderId="0" xfId="0" applyFont="1" applyFill="1" applyAlignment="1">
      <alignment horizontal="left"/>
    </xf>
    <xf numFmtId="0" fontId="67" fillId="0" borderId="0" xfId="211" applyFont="1" applyAlignment="1">
      <alignment horizontal="left"/>
    </xf>
    <xf numFmtId="0" fontId="67" fillId="0" borderId="0" xfId="211" applyFont="1" applyAlignment="1">
      <alignment horizontal="left" vertical="center" wrapText="1"/>
    </xf>
    <xf numFmtId="0" fontId="67" fillId="65" borderId="0" xfId="211" applyFont="1" applyFill="1" applyAlignment="1">
      <alignment horizontal="left"/>
    </xf>
    <xf numFmtId="0" fontId="67" fillId="0" borderId="0" xfId="211" applyFont="1" applyBorder="1" applyAlignment="1">
      <alignment horizontal="left" vertical="center"/>
    </xf>
    <xf numFmtId="0" fontId="67" fillId="0" borderId="0" xfId="211" applyFont="1" applyBorder="1" applyAlignment="1">
      <alignment horizontal="left"/>
    </xf>
    <xf numFmtId="0" fontId="11" fillId="5" borderId="3" xfId="0" applyFont="1" applyFill="1" applyBorder="1" applyAlignment="1" applyProtection="1">
      <alignment horizontal="center" vertical="top" wrapText="1"/>
    </xf>
    <xf numFmtId="0" fontId="11" fillId="5" borderId="4" xfId="0" applyFont="1" applyFill="1" applyBorder="1" applyAlignment="1" applyProtection="1">
      <alignment horizontal="center" vertical="top" wrapText="1"/>
    </xf>
    <xf numFmtId="0" fontId="11" fillId="5" borderId="5" xfId="0" applyFont="1" applyFill="1" applyBorder="1" applyAlignment="1" applyProtection="1">
      <alignment horizontal="center" vertical="top" wrapText="1"/>
    </xf>
    <xf numFmtId="0" fontId="11" fillId="4" borderId="6" xfId="0" applyFont="1" applyFill="1" applyBorder="1" applyAlignment="1" applyProtection="1">
      <alignment vertical="top" wrapText="1"/>
    </xf>
    <xf numFmtId="0" fontId="10" fillId="4" borderId="7" xfId="0" applyFont="1" applyFill="1" applyBorder="1" applyAlignment="1" applyProtection="1">
      <alignment horizontal="left" vertical="top" wrapText="1" indent="1"/>
    </xf>
    <xf numFmtId="0" fontId="10" fillId="4" borderId="22" xfId="0" applyFont="1" applyFill="1" applyBorder="1" applyAlignment="1" applyProtection="1">
      <alignment horizontal="left" vertical="top" wrapText="1" indent="1"/>
    </xf>
    <xf numFmtId="0" fontId="11" fillId="0" borderId="4" xfId="0" applyFont="1" applyFill="1" applyBorder="1" applyAlignment="1" applyProtection="1">
      <alignment horizontal="center" vertical="top" wrapText="1"/>
    </xf>
    <xf numFmtId="0" fontId="11" fillId="0" borderId="49"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protection locked="0"/>
    </xf>
    <xf numFmtId="0" fontId="6" fillId="0" borderId="0" xfId="0" applyFont="1" applyFill="1" applyBorder="1" applyAlignment="1" applyProtection="1">
      <alignment horizontal="center"/>
    </xf>
    <xf numFmtId="0" fontId="4" fillId="0" borderId="0" xfId="0" applyFont="1" applyFill="1" applyProtection="1"/>
    <xf numFmtId="0" fontId="4" fillId="0" borderId="0" xfId="0" applyFont="1"/>
    <xf numFmtId="0" fontId="10" fillId="0" borderId="17" xfId="0" applyFont="1" applyFill="1" applyBorder="1" applyAlignment="1" applyProtection="1">
      <alignment horizontal="center" vertical="top" wrapText="1"/>
      <protection locked="0"/>
    </xf>
    <xf numFmtId="0" fontId="10" fillId="0" borderId="14" xfId="0" applyFont="1" applyFill="1" applyBorder="1" applyAlignment="1" applyProtection="1">
      <alignment horizontal="center" vertical="top" wrapText="1"/>
      <protection locked="0"/>
    </xf>
    <xf numFmtId="1" fontId="10" fillId="0" borderId="17" xfId="0" applyNumberFormat="1" applyFont="1" applyBorder="1" applyAlignment="1" applyProtection="1">
      <alignment horizontal="center"/>
      <protection locked="0"/>
    </xf>
    <xf numFmtId="0" fontId="10" fillId="0" borderId="0" xfId="0" applyFont="1" applyFill="1" applyAlignment="1" applyProtection="1">
      <alignment wrapText="1"/>
    </xf>
    <xf numFmtId="0" fontId="10" fillId="5" borderId="13" xfId="0" applyFont="1" applyFill="1" applyBorder="1" applyAlignment="1" applyProtection="1">
      <alignment vertical="top" wrapText="1"/>
    </xf>
    <xf numFmtId="0" fontId="10" fillId="5" borderId="11" xfId="0" applyFont="1" applyFill="1" applyBorder="1" applyAlignment="1" applyProtection="1">
      <alignment vertical="top" wrapText="1"/>
    </xf>
    <xf numFmtId="0" fontId="4" fillId="0" borderId="0" xfId="0" applyFont="1" applyAlignment="1">
      <alignment horizontal="left"/>
    </xf>
    <xf numFmtId="0" fontId="10" fillId="0" borderId="0" xfId="0" applyFont="1" applyFill="1" applyBorder="1" applyAlignment="1" applyProtection="1">
      <alignment horizontal="left"/>
    </xf>
    <xf numFmtId="3" fontId="10" fillId="5" borderId="81" xfId="0" applyNumberFormat="1" applyFont="1" applyFill="1" applyBorder="1" applyAlignment="1" applyProtection="1">
      <alignment horizontal="center" vertical="center"/>
    </xf>
    <xf numFmtId="3" fontId="10" fillId="5" borderId="82" xfId="0" applyNumberFormat="1" applyFont="1" applyFill="1" applyBorder="1" applyAlignment="1" applyProtection="1">
      <alignment horizontal="center" vertical="center"/>
    </xf>
    <xf numFmtId="0" fontId="10" fillId="0" borderId="49"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left" vertical="center" wrapText="1"/>
    </xf>
    <xf numFmtId="3" fontId="10" fillId="5" borderId="76" xfId="0" applyNumberFormat="1" applyFont="1" applyFill="1" applyBorder="1" applyAlignment="1" applyProtection="1">
      <alignment horizontal="center" vertical="center"/>
    </xf>
    <xf numFmtId="3" fontId="10" fillId="5" borderId="77" xfId="0" applyNumberFormat="1" applyFont="1" applyFill="1" applyBorder="1" applyAlignment="1" applyProtection="1">
      <alignment horizontal="center" vertical="center"/>
    </xf>
    <xf numFmtId="168" fontId="10" fillId="5" borderId="76" xfId="0" applyNumberFormat="1" applyFont="1" applyFill="1" applyBorder="1" applyAlignment="1" applyProtection="1">
      <alignment horizontal="center" vertical="center"/>
    </xf>
    <xf numFmtId="168" fontId="10" fillId="5" borderId="77" xfId="0" applyNumberFormat="1" applyFont="1" applyFill="1" applyBorder="1" applyAlignment="1" applyProtection="1">
      <alignment horizontal="center" vertical="center"/>
    </xf>
    <xf numFmtId="170" fontId="10" fillId="5" borderId="76" xfId="0" applyNumberFormat="1" applyFont="1" applyFill="1" applyBorder="1" applyAlignment="1" applyProtection="1">
      <alignment horizontal="center" vertical="center"/>
    </xf>
    <xf numFmtId="170" fontId="10" fillId="5" borderId="77" xfId="0" applyNumberFormat="1" applyFont="1" applyFill="1" applyBorder="1" applyAlignment="1" applyProtection="1">
      <alignment horizontal="center" vertical="center"/>
    </xf>
    <xf numFmtId="0" fontId="10" fillId="0" borderId="49" xfId="0" applyFont="1" applyFill="1" applyBorder="1" applyAlignment="1" applyProtection="1">
      <alignment horizontal="left"/>
    </xf>
    <xf numFmtId="0" fontId="10" fillId="5" borderId="15" xfId="0" applyFont="1" applyFill="1" applyBorder="1" applyAlignment="1" applyProtection="1">
      <alignment vertical="top" wrapText="1"/>
    </xf>
    <xf numFmtId="169" fontId="10" fillId="5" borderId="20" xfId="7" applyNumberFormat="1" applyFont="1" applyFill="1" applyBorder="1" applyAlignment="1" applyProtection="1">
      <alignment horizontal="center" vertical="top" wrapText="1"/>
    </xf>
    <xf numFmtId="169" fontId="10" fillId="5" borderId="24" xfId="7" applyNumberFormat="1" applyFont="1" applyFill="1" applyBorder="1" applyAlignment="1" applyProtection="1">
      <alignment horizontal="center" vertical="top" wrapText="1"/>
    </xf>
    <xf numFmtId="0" fontId="10" fillId="4" borderId="15" xfId="0" applyFont="1" applyFill="1" applyBorder="1" applyAlignment="1" applyProtection="1">
      <alignment horizontal="center" vertical="top" wrapText="1"/>
    </xf>
    <xf numFmtId="169" fontId="10" fillId="4" borderId="21" xfId="7" applyNumberFormat="1" applyFont="1" applyFill="1" applyBorder="1" applyAlignment="1" applyProtection="1">
      <alignment horizontal="center" vertical="top" wrapText="1"/>
    </xf>
    <xf numFmtId="0" fontId="10" fillId="64" borderId="14" xfId="0" quotePrefix="1" applyFont="1" applyFill="1" applyBorder="1" applyAlignment="1" applyProtection="1">
      <alignment horizontal="center" vertical="top" wrapText="1"/>
    </xf>
    <xf numFmtId="0" fontId="10" fillId="64" borderId="24" xfId="0" quotePrefix="1" applyFont="1" applyFill="1" applyBorder="1" applyAlignment="1" applyProtection="1">
      <alignment horizontal="center" vertical="top" wrapText="1"/>
    </xf>
    <xf numFmtId="169" fontId="10" fillId="64" borderId="25" xfId="7" quotePrefix="1" applyNumberFormat="1" applyFont="1" applyFill="1" applyBorder="1" applyAlignment="1" applyProtection="1">
      <alignment horizontal="center" vertical="top" wrapText="1"/>
    </xf>
    <xf numFmtId="3" fontId="10" fillId="64" borderId="60" xfId="1" applyNumberFormat="1" applyFont="1" applyFill="1" applyBorder="1" applyAlignment="1" applyProtection="1">
      <alignment horizontal="center" vertical="top" wrapText="1"/>
      <protection locked="0"/>
    </xf>
    <xf numFmtId="3" fontId="10" fillId="64" borderId="43" xfId="1" applyNumberFormat="1" applyFont="1" applyFill="1" applyBorder="1" applyAlignment="1" applyProtection="1">
      <alignment horizontal="center" vertical="top" wrapText="1"/>
      <protection locked="0"/>
    </xf>
    <xf numFmtId="169" fontId="10" fillId="64" borderId="21" xfId="7" applyNumberFormat="1" applyFont="1" applyFill="1" applyBorder="1" applyAlignment="1" applyProtection="1">
      <alignment horizontal="center" vertical="top" wrapText="1"/>
    </xf>
    <xf numFmtId="169" fontId="10" fillId="64" borderId="23" xfId="7" quotePrefix="1" applyNumberFormat="1" applyFont="1" applyFill="1" applyBorder="1" applyAlignment="1" applyProtection="1">
      <alignment horizontal="center" vertical="top" wrapText="1"/>
    </xf>
    <xf numFmtId="169" fontId="10" fillId="64" borderId="25" xfId="7" quotePrefix="1" applyNumberFormat="1" applyFont="1" applyFill="1" applyBorder="1" applyAlignment="1" applyProtection="1">
      <alignment horizontal="center" vertical="center" wrapText="1"/>
    </xf>
    <xf numFmtId="3" fontId="10" fillId="0" borderId="4" xfId="1" applyNumberFormat="1" applyFont="1" applyFill="1" applyBorder="1" applyAlignment="1" applyProtection="1">
      <alignment horizontal="center" vertical="top" wrapText="1"/>
    </xf>
    <xf numFmtId="169" fontId="10" fillId="4" borderId="20" xfId="7" applyNumberFormat="1" applyFont="1" applyFill="1" applyBorder="1" applyAlignment="1" applyProtection="1">
      <alignment horizontal="center" vertical="top" wrapText="1"/>
    </xf>
    <xf numFmtId="3" fontId="10" fillId="0" borderId="29" xfId="0" applyNumberFormat="1" applyFont="1" applyFill="1" applyBorder="1" applyAlignment="1" applyProtection="1">
      <alignment horizontal="center" vertical="top" wrapText="1"/>
    </xf>
    <xf numFmtId="169" fontId="10" fillId="0" borderId="14" xfId="7" quotePrefix="1" applyNumberFormat="1" applyFont="1" applyFill="1" applyBorder="1" applyAlignment="1" applyProtection="1">
      <alignment horizontal="center" vertical="top" wrapText="1"/>
    </xf>
    <xf numFmtId="169" fontId="10" fillId="4" borderId="20" xfId="7" applyNumberFormat="1" applyFont="1" applyFill="1" applyBorder="1" applyAlignment="1" applyProtection="1">
      <alignment horizontal="center" vertical="top" wrapText="1"/>
      <protection locked="0"/>
    </xf>
    <xf numFmtId="169" fontId="10" fillId="64" borderId="23" xfId="7" quotePrefix="1" applyNumberFormat="1" applyFont="1" applyFill="1" applyBorder="1" applyAlignment="1" applyProtection="1">
      <alignment horizontal="center" vertical="top" wrapText="1"/>
      <protection locked="0"/>
    </xf>
    <xf numFmtId="169" fontId="10" fillId="64" borderId="25" xfId="7" quotePrefix="1" applyNumberFormat="1" applyFont="1" applyFill="1" applyBorder="1" applyAlignment="1" applyProtection="1">
      <alignment horizontal="center" vertical="top" wrapText="1"/>
      <protection locked="0"/>
    </xf>
    <xf numFmtId="165" fontId="10" fillId="0" borderId="0" xfId="0" applyNumberFormat="1" applyFont="1" applyAlignment="1" applyProtection="1">
      <alignment horizontal="center"/>
    </xf>
    <xf numFmtId="0" fontId="10" fillId="0" borderId="0" xfId="0" applyFont="1" applyProtection="1"/>
    <xf numFmtId="169" fontId="10" fillId="4" borderId="15" xfId="7" applyNumberFormat="1" applyFont="1" applyFill="1" applyBorder="1" applyAlignment="1" applyProtection="1">
      <alignment horizontal="center" vertical="top" wrapText="1"/>
    </xf>
    <xf numFmtId="169" fontId="10" fillId="4" borderId="16" xfId="7" applyNumberFormat="1" applyFont="1" applyFill="1" applyBorder="1" applyAlignment="1" applyProtection="1">
      <alignment horizontal="center" vertical="top" wrapText="1"/>
    </xf>
    <xf numFmtId="0" fontId="10" fillId="3" borderId="13" xfId="0" applyFont="1" applyFill="1" applyBorder="1" applyAlignment="1" applyProtection="1">
      <alignment vertical="top" wrapText="1"/>
      <protection locked="0"/>
    </xf>
    <xf numFmtId="169" fontId="10" fillId="4" borderId="14" xfId="7" applyNumberFormat="1" applyFont="1" applyFill="1" applyBorder="1" applyAlignment="1" applyProtection="1">
      <alignment horizontal="center" vertical="top" wrapText="1"/>
    </xf>
    <xf numFmtId="0" fontId="10" fillId="3" borderId="9" xfId="0" applyFont="1" applyFill="1" applyBorder="1" applyAlignment="1" applyProtection="1">
      <alignment vertical="top" wrapText="1"/>
      <protection locked="0"/>
    </xf>
    <xf numFmtId="169" fontId="10" fillId="4" borderId="8" xfId="7" applyNumberFormat="1" applyFont="1" applyFill="1" applyBorder="1" applyAlignment="1" applyProtection="1">
      <alignment horizontal="center" vertical="top" wrapText="1"/>
    </xf>
    <xf numFmtId="0" fontId="10" fillId="3" borderId="15" xfId="0" applyFont="1" applyFill="1" applyBorder="1" applyAlignment="1" applyProtection="1">
      <alignment vertical="top" wrapText="1"/>
      <protection locked="0"/>
    </xf>
    <xf numFmtId="0" fontId="10" fillId="3" borderId="21" xfId="0" applyFont="1" applyFill="1" applyBorder="1" applyAlignment="1" applyProtection="1">
      <alignment vertical="top" wrapText="1"/>
      <protection locked="0"/>
    </xf>
    <xf numFmtId="0" fontId="10" fillId="3" borderId="24" xfId="0" applyFont="1" applyFill="1" applyBorder="1" applyAlignment="1" applyProtection="1">
      <alignment vertical="top" wrapText="1"/>
      <protection locked="0"/>
    </xf>
    <xf numFmtId="169" fontId="10" fillId="4" borderId="5" xfId="7" quotePrefix="1" applyNumberFormat="1" applyFont="1" applyFill="1" applyBorder="1" applyAlignment="1" applyProtection="1">
      <alignment horizontal="center" vertical="top" wrapText="1"/>
    </xf>
    <xf numFmtId="0" fontId="10" fillId="4" borderId="19" xfId="0" applyFont="1" applyFill="1" applyBorder="1" applyAlignment="1" applyProtection="1">
      <alignment vertical="top" wrapText="1"/>
    </xf>
    <xf numFmtId="0" fontId="10" fillId="4" borderId="8" xfId="0" applyFont="1" applyFill="1" applyBorder="1" applyAlignment="1" applyProtection="1">
      <alignment vertical="top" wrapText="1"/>
    </xf>
    <xf numFmtId="0" fontId="10" fillId="4" borderId="9" xfId="0" applyFont="1" applyFill="1" applyBorder="1" applyAlignment="1" applyProtection="1">
      <alignment vertical="top" wrapText="1"/>
    </xf>
    <xf numFmtId="0" fontId="10" fillId="3" borderId="0" xfId="0" applyFont="1" applyFill="1" applyProtection="1"/>
    <xf numFmtId="0" fontId="10" fillId="3" borderId="19" xfId="0" applyFont="1" applyFill="1" applyBorder="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49" fontId="10" fillId="4" borderId="19" xfId="0" applyNumberFormat="1" applyFont="1" applyFill="1" applyBorder="1" applyAlignment="1" applyProtection="1">
      <alignment vertical="top" wrapText="1"/>
    </xf>
    <xf numFmtId="0" fontId="10" fillId="2" borderId="6" xfId="0" applyFont="1" applyFill="1" applyBorder="1" applyAlignment="1" applyProtection="1">
      <alignment vertical="top" wrapText="1"/>
      <protection locked="0"/>
    </xf>
    <xf numFmtId="168" fontId="10" fillId="3" borderId="19" xfId="0" applyNumberFormat="1" applyFont="1" applyFill="1" applyBorder="1" applyAlignment="1" applyProtection="1">
      <alignment horizontal="center" vertical="top" wrapText="1"/>
      <protection locked="0"/>
    </xf>
    <xf numFmtId="0" fontId="10" fillId="3" borderId="7" xfId="0" applyFont="1" applyFill="1" applyBorder="1" applyAlignment="1" applyProtection="1">
      <alignment vertical="top" wrapText="1"/>
      <protection locked="0"/>
    </xf>
    <xf numFmtId="168" fontId="10" fillId="3" borderId="8" xfId="0" applyNumberFormat="1" applyFont="1" applyFill="1" applyBorder="1" applyAlignment="1" applyProtection="1">
      <alignment horizontal="center" vertical="top" wrapText="1"/>
      <protection locked="0"/>
    </xf>
    <xf numFmtId="0" fontId="10" fillId="3" borderId="30" xfId="0" applyFont="1" applyFill="1" applyBorder="1" applyAlignment="1" applyProtection="1">
      <alignment vertical="top" wrapText="1"/>
      <protection locked="0"/>
    </xf>
    <xf numFmtId="168" fontId="10" fillId="3" borderId="9" xfId="0" applyNumberFormat="1" applyFont="1" applyFill="1" applyBorder="1" applyAlignment="1" applyProtection="1">
      <alignment horizontal="center" vertical="top" wrapText="1"/>
      <protection locked="0"/>
    </xf>
    <xf numFmtId="5" fontId="10" fillId="0" borderId="12" xfId="4" applyNumberFormat="1" applyFont="1" applyFill="1" applyBorder="1" applyAlignment="1" applyProtection="1">
      <alignment horizontal="center" vertical="center" wrapText="1"/>
      <protection locked="0"/>
    </xf>
    <xf numFmtId="168" fontId="10" fillId="3" borderId="157" xfId="4" applyNumberFormat="1" applyFont="1" applyFill="1" applyBorder="1" applyAlignment="1" applyProtection="1">
      <alignment horizontal="center" vertical="top" wrapText="1"/>
      <protection locked="0"/>
    </xf>
    <xf numFmtId="0" fontId="10" fillId="3" borderId="157" xfId="0" applyFont="1" applyFill="1" applyBorder="1" applyAlignment="1" applyProtection="1">
      <alignment horizontal="center" vertical="top" wrapText="1"/>
      <protection locked="0"/>
    </xf>
    <xf numFmtId="168" fontId="10" fillId="3" borderId="50" xfId="4" applyNumberFormat="1" applyFont="1" applyFill="1" applyBorder="1" applyAlignment="1" applyProtection="1">
      <alignment horizontal="center" vertical="top" wrapText="1"/>
      <protection locked="0"/>
    </xf>
    <xf numFmtId="0" fontId="10" fillId="3" borderId="50" xfId="0" applyFont="1" applyFill="1" applyBorder="1" applyAlignment="1" applyProtection="1">
      <alignment horizontal="center" vertical="top" wrapText="1"/>
      <protection locked="0"/>
    </xf>
    <xf numFmtId="168" fontId="10" fillId="4" borderId="14" xfId="4" applyNumberFormat="1" applyFont="1" applyFill="1" applyBorder="1" applyAlignment="1" applyProtection="1">
      <alignment horizontal="center" vertical="top" wrapText="1"/>
    </xf>
    <xf numFmtId="0" fontId="10" fillId="4" borderId="28" xfId="0" applyFont="1" applyFill="1" applyBorder="1" applyAlignment="1" applyProtection="1">
      <alignment vertical="top" wrapText="1"/>
    </xf>
    <xf numFmtId="170" fontId="10" fillId="3" borderId="8" xfId="0" applyNumberFormat="1" applyFont="1" applyFill="1" applyBorder="1" applyAlignment="1" applyProtection="1">
      <alignment horizontal="center" vertical="top" wrapText="1"/>
      <protection locked="0"/>
    </xf>
    <xf numFmtId="3" fontId="10" fillId="3" borderId="8" xfId="0" applyNumberFormat="1" applyFont="1" applyFill="1" applyBorder="1" applyAlignment="1" applyProtection="1">
      <alignment horizontal="center" vertical="top" wrapText="1"/>
      <protection locked="0"/>
    </xf>
    <xf numFmtId="3" fontId="10" fillId="3" borderId="9" xfId="0" applyNumberFormat="1" applyFont="1" applyFill="1" applyBorder="1" applyAlignment="1" applyProtection="1">
      <alignment horizontal="center" vertical="top" wrapText="1"/>
      <protection locked="0"/>
    </xf>
    <xf numFmtId="3" fontId="67" fillId="64" borderId="4" xfId="211" applyNumberFormat="1" applyFont="1" applyFill="1" applyBorder="1" applyAlignment="1" applyProtection="1">
      <alignment horizontal="center" vertical="center"/>
    </xf>
    <xf numFmtId="0" fontId="10" fillId="0" borderId="16" xfId="0" applyFont="1" applyBorder="1" applyAlignment="1" applyProtection="1">
      <alignment horizontal="center" vertical="top" wrapText="1"/>
      <protection locked="0"/>
    </xf>
    <xf numFmtId="0" fontId="11" fillId="5" borderId="13" xfId="0" applyFont="1" applyFill="1" applyBorder="1" applyAlignment="1" applyProtection="1">
      <alignment horizontal="right" vertical="top" wrapText="1"/>
    </xf>
    <xf numFmtId="0" fontId="11" fillId="5" borderId="12" xfId="0" quotePrefix="1" applyFont="1" applyFill="1" applyBorder="1" applyAlignment="1" applyProtection="1">
      <alignment horizontal="right" vertical="top" wrapText="1"/>
    </xf>
    <xf numFmtId="0" fontId="10" fillId="0" borderId="14" xfId="0" applyFont="1" applyBorder="1" applyAlignment="1" applyProtection="1">
      <alignment horizontal="center" vertical="top" wrapText="1"/>
      <protection locked="0"/>
    </xf>
    <xf numFmtId="0" fontId="11" fillId="5" borderId="3" xfId="0" applyFont="1" applyFill="1" applyBorder="1" applyAlignment="1" applyProtection="1">
      <alignment horizontal="center" vertical="top" wrapText="1"/>
    </xf>
    <xf numFmtId="0" fontId="11" fillId="5" borderId="4" xfId="0" applyFont="1" applyFill="1" applyBorder="1" applyAlignment="1" applyProtection="1">
      <alignment horizontal="center" vertical="top" wrapText="1"/>
    </xf>
    <xf numFmtId="0" fontId="11" fillId="5" borderId="5" xfId="0" applyFont="1" applyFill="1" applyBorder="1" applyAlignment="1" applyProtection="1">
      <alignment horizontal="center" vertical="top" wrapText="1"/>
    </xf>
    <xf numFmtId="0" fontId="11" fillId="5" borderId="13" xfId="0" quotePrefix="1" applyFont="1" applyFill="1" applyBorder="1" applyAlignment="1" applyProtection="1">
      <alignment horizontal="right" vertical="top" wrapText="1"/>
    </xf>
    <xf numFmtId="0" fontId="11" fillId="5" borderId="12" xfId="0" applyFont="1" applyFill="1" applyBorder="1" applyAlignment="1" applyProtection="1">
      <alignment horizontal="center"/>
    </xf>
    <xf numFmtId="0" fontId="11" fillId="0" borderId="0" xfId="0" applyFont="1" applyFill="1" applyBorder="1" applyAlignment="1" applyProtection="1">
      <alignment horizontal="center"/>
    </xf>
    <xf numFmtId="0" fontId="11" fillId="5" borderId="46" xfId="0" applyFont="1" applyFill="1" applyBorder="1" applyAlignment="1" applyProtection="1">
      <alignment horizontal="center" vertical="top" wrapText="1"/>
    </xf>
    <xf numFmtId="0" fontId="11" fillId="5" borderId="14" xfId="0" applyFont="1" applyFill="1" applyBorder="1" applyAlignment="1" applyProtection="1">
      <alignment horizontal="center" vertical="top" wrapText="1"/>
    </xf>
    <xf numFmtId="0" fontId="11" fillId="4" borderId="6" xfId="0" applyFont="1" applyFill="1" applyBorder="1" applyAlignment="1" applyProtection="1">
      <alignment vertical="top" wrapText="1"/>
    </xf>
    <xf numFmtId="0" fontId="11" fillId="5" borderId="6" xfId="0" applyFont="1" applyFill="1" applyBorder="1" applyAlignment="1" applyProtection="1">
      <alignment vertical="top" wrapText="1"/>
    </xf>
    <xf numFmtId="0" fontId="10" fillId="0" borderId="15" xfId="0" applyFont="1" applyFill="1" applyBorder="1" applyAlignment="1" applyProtection="1">
      <alignment horizontal="center" vertical="top" wrapText="1"/>
      <protection locked="0"/>
    </xf>
    <xf numFmtId="0" fontId="75" fillId="6" borderId="51" xfId="0" applyFont="1" applyFill="1" applyBorder="1" applyAlignment="1" applyProtection="1">
      <alignment horizontal="left"/>
    </xf>
    <xf numFmtId="0" fontId="75" fillId="6" borderId="49" xfId="0" applyFont="1" applyFill="1" applyBorder="1" applyAlignment="1" applyProtection="1">
      <alignment horizontal="left"/>
    </xf>
    <xf numFmtId="0" fontId="75" fillId="6" borderId="46" xfId="0" applyFont="1" applyFill="1" applyBorder="1" applyAlignment="1" applyProtection="1">
      <alignment horizontal="left"/>
    </xf>
    <xf numFmtId="0" fontId="75" fillId="6" borderId="7" xfId="0" applyFont="1" applyFill="1" applyBorder="1" applyAlignment="1" applyProtection="1">
      <alignment horizontal="left" vertical="center"/>
    </xf>
    <xf numFmtId="0" fontId="75" fillId="6" borderId="47" xfId="0" applyFont="1" applyFill="1" applyBorder="1" applyAlignment="1" applyProtection="1">
      <alignment horizontal="left" vertical="center"/>
    </xf>
    <xf numFmtId="0" fontId="75" fillId="6" borderId="16" xfId="0" applyFont="1" applyFill="1" applyBorder="1" applyAlignment="1" applyProtection="1">
      <alignment horizontal="left" vertical="center"/>
    </xf>
    <xf numFmtId="0" fontId="6" fillId="0" borderId="0" xfId="0" applyFont="1" applyFill="1" applyBorder="1" applyAlignment="1" applyProtection="1">
      <alignment horizontal="center"/>
    </xf>
    <xf numFmtId="0" fontId="11" fillId="4" borderId="5" xfId="0" applyFont="1" applyFill="1" applyBorder="1" applyAlignment="1" applyProtection="1">
      <alignment horizontal="center" vertical="top" wrapText="1"/>
    </xf>
    <xf numFmtId="0" fontId="10" fillId="3" borderId="15"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0" fillId="3" borderId="24" xfId="0" applyFont="1" applyFill="1" applyBorder="1" applyAlignment="1" applyProtection="1">
      <alignment horizontal="left" vertical="top" wrapText="1"/>
      <protection locked="0"/>
    </xf>
    <xf numFmtId="0" fontId="10" fillId="3" borderId="9"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1" fillId="4" borderId="51" xfId="0" applyFont="1" applyFill="1" applyBorder="1" applyAlignment="1" applyProtection="1">
      <alignment vertical="top" wrapText="1"/>
    </xf>
    <xf numFmtId="0" fontId="10" fillId="4" borderId="14" xfId="0" applyFont="1" applyFill="1" applyBorder="1" applyAlignment="1" applyProtection="1">
      <alignment vertical="top" wrapText="1"/>
    </xf>
    <xf numFmtId="168" fontId="10" fillId="3" borderId="15" xfId="4" applyNumberFormat="1" applyFont="1" applyFill="1" applyBorder="1" applyAlignment="1" applyProtection="1">
      <alignment horizontal="center" vertical="top" wrapText="1"/>
      <protection locked="0"/>
    </xf>
    <xf numFmtId="0" fontId="10" fillId="3" borderId="15" xfId="0" applyFont="1" applyFill="1" applyBorder="1" applyAlignment="1" applyProtection="1">
      <alignment horizontal="center" vertical="top" wrapText="1"/>
      <protection locked="0"/>
    </xf>
    <xf numFmtId="0" fontId="10" fillId="3" borderId="19" xfId="0" applyFont="1" applyFill="1" applyBorder="1" applyAlignment="1" applyProtection="1">
      <alignment horizontal="center" vertical="top" wrapText="1"/>
      <protection locked="0"/>
    </xf>
    <xf numFmtId="0" fontId="10" fillId="3" borderId="8" xfId="0" applyFont="1" applyFill="1" applyBorder="1" applyAlignment="1" applyProtection="1">
      <alignment horizontal="center" vertical="top" wrapText="1"/>
      <protection locked="0"/>
    </xf>
    <xf numFmtId="168" fontId="10" fillId="0" borderId="5" xfId="4" applyNumberFormat="1"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top" wrapText="1"/>
      <protection locked="0"/>
    </xf>
    <xf numFmtId="3" fontId="67" fillId="0" borderId="106" xfId="211" applyNumberFormat="1" applyFont="1" applyBorder="1" applyAlignment="1" applyProtection="1">
      <alignment horizontal="center" vertical="center"/>
      <protection locked="0"/>
    </xf>
    <xf numFmtId="3" fontId="67" fillId="64" borderId="100" xfId="211" quotePrefix="1" applyNumberFormat="1" applyFont="1" applyFill="1" applyBorder="1" applyAlignment="1" applyProtection="1">
      <alignment horizontal="center" vertical="center"/>
    </xf>
    <xf numFmtId="3" fontId="67" fillId="64" borderId="99" xfId="211" quotePrefix="1" applyNumberFormat="1" applyFont="1" applyFill="1" applyBorder="1" applyAlignment="1" applyProtection="1">
      <alignment horizontal="center" vertical="center"/>
    </xf>
    <xf numFmtId="0" fontId="71" fillId="64" borderId="14" xfId="211" quotePrefix="1" applyFont="1" applyFill="1" applyBorder="1" applyAlignment="1" applyProtection="1">
      <alignment horizontal="center" vertical="center"/>
    </xf>
    <xf numFmtId="3" fontId="71" fillId="6" borderId="52" xfId="211" applyNumberFormat="1" applyFont="1" applyFill="1" applyBorder="1" applyAlignment="1" applyProtection="1">
      <alignment horizontal="center" vertical="center"/>
    </xf>
    <xf numFmtId="3" fontId="71" fillId="6" borderId="65" xfId="211" applyNumberFormat="1" applyFont="1" applyFill="1" applyBorder="1" applyAlignment="1" applyProtection="1">
      <alignment horizontal="center" vertical="center"/>
    </xf>
    <xf numFmtId="3" fontId="67" fillId="0" borderId="109" xfId="211" applyNumberFormat="1" applyFont="1" applyBorder="1" applyAlignment="1" applyProtection="1">
      <alignment horizontal="center" vertical="center"/>
      <protection locked="0"/>
    </xf>
    <xf numFmtId="3" fontId="67" fillId="0" borderId="110" xfId="211" applyNumberFormat="1" applyFont="1" applyBorder="1" applyAlignment="1" applyProtection="1">
      <alignment horizontal="center" vertical="center"/>
      <protection locked="0"/>
    </xf>
    <xf numFmtId="0" fontId="67" fillId="0" borderId="0" xfId="211" applyFont="1" applyFill="1" applyAlignment="1">
      <alignment horizontal="left" vertical="center"/>
    </xf>
    <xf numFmtId="0" fontId="67" fillId="0" borderId="0" xfId="211" applyFont="1" applyFill="1" applyBorder="1" applyAlignment="1">
      <alignment horizontal="left" vertical="center"/>
    </xf>
    <xf numFmtId="0" fontId="4" fillId="0" borderId="0" xfId="0" applyFont="1" applyProtection="1"/>
    <xf numFmtId="0" fontId="5" fillId="0" borderId="0" xfId="0" applyFont="1" applyProtection="1"/>
    <xf numFmtId="0" fontId="5" fillId="0" borderId="0" xfId="0" applyFont="1" applyFill="1" applyProtection="1"/>
    <xf numFmtId="0" fontId="7" fillId="2" borderId="0" xfId="0" applyFont="1" applyFill="1" applyProtection="1"/>
    <xf numFmtId="0" fontId="67" fillId="0" borderId="0" xfId="211" applyFont="1" applyAlignment="1" applyProtection="1">
      <alignment vertical="center" wrapText="1"/>
    </xf>
    <xf numFmtId="0" fontId="67" fillId="65" borderId="0" xfId="211" applyFont="1" applyFill="1" applyProtection="1"/>
    <xf numFmtId="0" fontId="67" fillId="0" borderId="0" xfId="211" applyFont="1" applyBorder="1" applyAlignment="1" applyProtection="1">
      <alignment vertical="center"/>
    </xf>
    <xf numFmtId="0" fontId="67" fillId="0" borderId="0" xfId="211" applyFont="1" applyBorder="1" applyProtection="1"/>
    <xf numFmtId="0" fontId="67" fillId="0" borderId="0" xfId="211" applyFont="1" applyBorder="1" applyAlignment="1" applyProtection="1">
      <alignment horizontal="left" wrapText="1"/>
    </xf>
    <xf numFmtId="0" fontId="12" fillId="0" borderId="0" xfId="0" applyFont="1" applyProtection="1"/>
    <xf numFmtId="0" fontId="81" fillId="0" borderId="0" xfId="0" applyFont="1" applyProtection="1"/>
    <xf numFmtId="0" fontId="11" fillId="0" borderId="0" xfId="0" applyFont="1" applyProtection="1"/>
    <xf numFmtId="0" fontId="11" fillId="0" borderId="0" xfId="0" applyFont="1" applyFill="1" applyProtection="1"/>
    <xf numFmtId="0" fontId="10" fillId="0" borderId="0" xfId="0" applyFont="1" applyFill="1" applyProtection="1"/>
    <xf numFmtId="0" fontId="10" fillId="0" borderId="0" xfId="0" applyFont="1" applyFill="1" applyBorder="1" applyProtection="1"/>
    <xf numFmtId="0" fontId="12" fillId="0" borderId="0" xfId="0" applyFont="1" applyFill="1" applyBorder="1" applyProtection="1"/>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0" fillId="2" borderId="0" xfId="0" applyFill="1" applyProtection="1"/>
    <xf numFmtId="0" fontId="0" fillId="0" borderId="0" xfId="0" applyFill="1" applyProtection="1"/>
    <xf numFmtId="0" fontId="0" fillId="2" borderId="0" xfId="0" applyFill="1" applyBorder="1" applyProtection="1"/>
    <xf numFmtId="0" fontId="0" fillId="0" borderId="0" xfId="0" applyFill="1" applyBorder="1" applyProtection="1"/>
    <xf numFmtId="0" fontId="0" fillId="2" borderId="0" xfId="0" applyFill="1" applyAlignment="1" applyProtection="1">
      <alignment horizontal="center"/>
    </xf>
    <xf numFmtId="0" fontId="0" fillId="0" borderId="0" xfId="0" applyFill="1" applyBorder="1" applyAlignment="1" applyProtection="1">
      <alignment horizontal="center"/>
    </xf>
    <xf numFmtId="0" fontId="8" fillId="0" borderId="0" xfId="0" applyFont="1" applyFill="1" applyBorder="1" applyAlignment="1" applyProtection="1">
      <alignment vertical="top" wrapText="1"/>
    </xf>
    <xf numFmtId="0" fontId="11" fillId="0" borderId="0" xfId="0" applyFont="1" applyAlignment="1" applyProtection="1">
      <alignment horizontal="left"/>
    </xf>
    <xf numFmtId="0" fontId="76" fillId="0" borderId="49" xfId="0" applyFont="1" applyFill="1" applyBorder="1" applyAlignment="1" applyProtection="1">
      <alignment horizontal="center" vertical="center"/>
    </xf>
    <xf numFmtId="0" fontId="77" fillId="0" borderId="49" xfId="210" applyFont="1" applyFill="1" applyBorder="1" applyAlignment="1" applyProtection="1">
      <alignment horizontal="left" vertical="center"/>
    </xf>
    <xf numFmtId="0" fontId="75" fillId="6" borderId="12" xfId="0" applyFont="1" applyFill="1" applyBorder="1" applyAlignment="1" applyProtection="1">
      <alignment horizontal="center"/>
    </xf>
    <xf numFmtId="0" fontId="75" fillId="6" borderId="12" xfId="0" applyFont="1" applyFill="1" applyBorder="1" applyProtection="1"/>
    <xf numFmtId="0" fontId="76" fillId="0" borderId="0" xfId="0" applyFont="1" applyFill="1" applyBorder="1" applyAlignment="1" applyProtection="1">
      <alignment horizontal="center" vertical="center"/>
    </xf>
    <xf numFmtId="0" fontId="77" fillId="0" borderId="0" xfId="210" applyFont="1" applyFill="1" applyBorder="1" applyAlignment="1" applyProtection="1">
      <alignment horizontal="left" vertical="center"/>
    </xf>
    <xf numFmtId="0" fontId="7" fillId="3" borderId="0" xfId="0" applyFont="1" applyFill="1" applyProtection="1"/>
    <xf numFmtId="0" fontId="10" fillId="3" borderId="0" xfId="0" applyFont="1" applyFill="1" applyBorder="1" applyAlignment="1" applyProtection="1">
      <alignment horizontal="center" vertical="top" wrapText="1"/>
    </xf>
    <xf numFmtId="0" fontId="12" fillId="3" borderId="0" xfId="0" applyFont="1" applyFill="1" applyProtection="1"/>
    <xf numFmtId="0" fontId="10" fillId="3" borderId="0" xfId="0" applyFont="1" applyFill="1" applyBorder="1" applyProtection="1"/>
    <xf numFmtId="3" fontId="10" fillId="65" borderId="0" xfId="0" applyNumberFormat="1" applyFont="1" applyFill="1" applyBorder="1" applyAlignment="1" applyProtection="1">
      <alignment horizontal="center" vertical="top" wrapText="1"/>
    </xf>
    <xf numFmtId="0" fontId="7" fillId="3" borderId="0" xfId="0" applyFont="1" applyFill="1" applyAlignment="1" applyProtection="1">
      <alignment horizontal="center"/>
    </xf>
    <xf numFmtId="49" fontId="10" fillId="4" borderId="19" xfId="0" applyNumberFormat="1" applyFont="1" applyFill="1" applyBorder="1" applyAlignment="1" applyProtection="1">
      <alignment horizontal="center" vertical="top" wrapText="1"/>
      <protection locked="0"/>
    </xf>
    <xf numFmtId="0" fontId="10" fillId="4" borderId="180" xfId="0" applyFont="1" applyFill="1" applyBorder="1" applyAlignment="1" applyProtection="1">
      <alignment vertical="top" wrapText="1"/>
    </xf>
    <xf numFmtId="0" fontId="7" fillId="0" borderId="0" xfId="4378" applyFont="1" applyProtection="1"/>
    <xf numFmtId="0" fontId="120" fillId="0" borderId="0" xfId="4378" applyFont="1" applyProtection="1"/>
    <xf numFmtId="0" fontId="7" fillId="0" borderId="0" xfId="4378" applyFont="1" applyAlignment="1" applyProtection="1">
      <alignment vertical="center"/>
    </xf>
    <xf numFmtId="0" fontId="118" fillId="5" borderId="52" xfId="4378" applyFont="1" applyFill="1" applyBorder="1" applyAlignment="1" applyProtection="1">
      <alignment vertical="center"/>
    </xf>
    <xf numFmtId="0" fontId="118" fillId="5" borderId="173" xfId="4378" applyFont="1" applyFill="1" applyBorder="1" applyAlignment="1" applyProtection="1">
      <alignment horizontal="center" vertical="center"/>
    </xf>
    <xf numFmtId="0" fontId="118" fillId="5" borderId="64" xfId="4378" applyFont="1" applyFill="1" applyBorder="1" applyAlignment="1" applyProtection="1">
      <alignment horizontal="center" vertical="center" wrapText="1"/>
    </xf>
    <xf numFmtId="0" fontId="118" fillId="5" borderId="64" xfId="4378" applyFont="1" applyFill="1" applyBorder="1" applyAlignment="1" applyProtection="1">
      <alignment vertical="center"/>
    </xf>
    <xf numFmtId="0" fontId="118" fillId="5" borderId="65" xfId="4378" applyFont="1" applyFill="1" applyBorder="1" applyAlignment="1" applyProtection="1">
      <alignment vertical="center"/>
    </xf>
    <xf numFmtId="0" fontId="11" fillId="5" borderId="35" xfId="4378" applyFont="1" applyFill="1" applyBorder="1" applyAlignment="1" applyProtection="1">
      <alignment horizontal="left" vertical="center" indent="1"/>
    </xf>
    <xf numFmtId="10" fontId="11" fillId="5" borderId="43" xfId="4378" quotePrefix="1" applyNumberFormat="1" applyFont="1" applyFill="1" applyBorder="1" applyAlignment="1" applyProtection="1">
      <alignment horizontal="center" vertical="center"/>
    </xf>
    <xf numFmtId="0" fontId="11" fillId="5" borderId="37" xfId="4378" applyFont="1" applyFill="1" applyBorder="1" applyAlignment="1" applyProtection="1">
      <alignment horizontal="center" vertical="center"/>
    </xf>
    <xf numFmtId="0" fontId="11" fillId="5" borderId="37" xfId="4378" applyFont="1" applyFill="1" applyBorder="1" applyAlignment="1" applyProtection="1">
      <alignment vertical="center"/>
    </xf>
    <xf numFmtId="9" fontId="11" fillId="5" borderId="174" xfId="4378" quotePrefix="1" applyNumberFormat="1" applyFont="1" applyFill="1" applyBorder="1" applyAlignment="1" applyProtection="1">
      <alignment horizontal="center" vertical="center"/>
    </xf>
    <xf numFmtId="0" fontId="11" fillId="5" borderId="39" xfId="4378" applyFont="1" applyFill="1" applyBorder="1" applyAlignment="1" applyProtection="1">
      <alignment vertical="center"/>
    </xf>
    <xf numFmtId="0" fontId="11" fillId="5" borderId="2" xfId="4378" applyFont="1" applyFill="1" applyBorder="1" applyAlignment="1" applyProtection="1">
      <alignment horizontal="left" vertical="center" indent="1"/>
    </xf>
    <xf numFmtId="0" fontId="11" fillId="5" borderId="39" xfId="4378" applyFont="1" applyFill="1" applyBorder="1" applyAlignment="1" applyProtection="1">
      <alignment horizontal="center" vertical="center"/>
    </xf>
    <xf numFmtId="0" fontId="11" fillId="5" borderId="23" xfId="4378" applyFont="1" applyFill="1" applyBorder="1" applyAlignment="1" applyProtection="1">
      <alignment vertical="center"/>
    </xf>
    <xf numFmtId="0" fontId="11" fillId="5" borderId="103" xfId="4378" applyFont="1" applyFill="1" applyBorder="1" applyAlignment="1" applyProtection="1">
      <alignment horizontal="left" vertical="center" wrapText="1"/>
    </xf>
    <xf numFmtId="0" fontId="11" fillId="5" borderId="174" xfId="4378" quotePrefix="1" applyFont="1" applyFill="1" applyBorder="1" applyAlignment="1" applyProtection="1">
      <alignment horizontal="center" vertical="center"/>
    </xf>
    <xf numFmtId="0" fontId="11" fillId="5" borderId="171" xfId="4378" applyFont="1" applyFill="1" applyBorder="1" applyAlignment="1" applyProtection="1">
      <alignment horizontal="center" vertical="center"/>
    </xf>
    <xf numFmtId="0" fontId="11" fillId="5" borderId="171" xfId="4378" applyFont="1" applyFill="1" applyBorder="1" applyAlignment="1" applyProtection="1">
      <alignment horizontal="right" vertical="center"/>
    </xf>
    <xf numFmtId="0" fontId="11" fillId="5" borderId="41" xfId="4378" applyFont="1" applyFill="1" applyBorder="1" applyAlignment="1" applyProtection="1">
      <alignment vertical="center"/>
    </xf>
    <xf numFmtId="0" fontId="11" fillId="5" borderId="103" xfId="4378" applyFont="1" applyFill="1" applyBorder="1" applyAlignment="1" applyProtection="1">
      <alignment horizontal="left" vertical="center" indent="1"/>
    </xf>
    <xf numFmtId="0" fontId="11" fillId="5" borderId="171" xfId="4378" applyFont="1" applyFill="1" applyBorder="1" applyAlignment="1" applyProtection="1">
      <alignment vertical="center"/>
    </xf>
    <xf numFmtId="0" fontId="118" fillId="5" borderId="52" xfId="4378" applyFont="1" applyFill="1" applyBorder="1" applyAlignment="1" applyProtection="1">
      <alignment horizontal="left" vertical="center"/>
    </xf>
    <xf numFmtId="0" fontId="118" fillId="5" borderId="64" xfId="4378" applyFont="1" applyFill="1" applyBorder="1" applyAlignment="1" applyProtection="1">
      <alignment horizontal="center" vertical="center"/>
    </xf>
    <xf numFmtId="0" fontId="118" fillId="5" borderId="65" xfId="4378" applyFont="1" applyFill="1" applyBorder="1" applyAlignment="1" applyProtection="1">
      <alignment vertical="center" wrapText="1"/>
    </xf>
    <xf numFmtId="0" fontId="8" fillId="5" borderId="0" xfId="4378" quotePrefix="1" applyFont="1" applyFill="1" applyBorder="1" applyProtection="1"/>
    <xf numFmtId="0" fontId="8" fillId="5" borderId="3" xfId="4378" applyFont="1" applyFill="1" applyBorder="1" applyAlignment="1" applyProtection="1">
      <alignment horizontal="center" vertical="center" wrapText="1"/>
    </xf>
    <xf numFmtId="0" fontId="7" fillId="5" borderId="4" xfId="4378" applyFont="1" applyFill="1" applyBorder="1" applyProtection="1"/>
    <xf numFmtId="0" fontId="8" fillId="5" borderId="17" xfId="4378" applyFont="1" applyFill="1" applyBorder="1" applyAlignment="1" applyProtection="1">
      <alignment horizontal="center" vertical="center" wrapText="1"/>
    </xf>
    <xf numFmtId="0" fontId="11" fillId="0" borderId="0" xfId="4378" quotePrefix="1" applyFont="1" applyAlignment="1" applyProtection="1">
      <alignment horizontal="left" wrapText="1"/>
    </xf>
    <xf numFmtId="0" fontId="6" fillId="0" borderId="0" xfId="4378" applyFont="1" applyProtection="1"/>
    <xf numFmtId="0" fontId="8" fillId="0" borderId="0" xfId="100" applyFont="1" applyAlignment="1" applyProtection="1">
      <alignment vertical="center"/>
    </xf>
    <xf numFmtId="0" fontId="10" fillId="0" borderId="0" xfId="100" applyAlignment="1" applyProtection="1">
      <alignment vertical="center"/>
    </xf>
    <xf numFmtId="0" fontId="11" fillId="0" borderId="158" xfId="100" applyFont="1" applyBorder="1" applyAlignment="1" applyProtection="1">
      <alignment vertical="center"/>
    </xf>
    <xf numFmtId="0" fontId="11" fillId="0" borderId="158" xfId="100" applyFont="1" applyBorder="1" applyAlignment="1" applyProtection="1">
      <alignment horizontal="center" vertical="center"/>
    </xf>
    <xf numFmtId="0" fontId="11" fillId="0" borderId="0" xfId="100" applyFont="1" applyAlignment="1" applyProtection="1">
      <alignment vertical="center"/>
    </xf>
    <xf numFmtId="0" fontId="10" fillId="0" borderId="0" xfId="100" applyAlignment="1" applyProtection="1">
      <alignment horizontal="right" vertical="center"/>
    </xf>
    <xf numFmtId="0" fontId="10" fillId="0" borderId="0" xfId="100" quotePrefix="1" applyAlignment="1" applyProtection="1">
      <alignment horizontal="center" vertical="center"/>
    </xf>
    <xf numFmtId="0" fontId="10" fillId="0" borderId="0" xfId="100" quotePrefix="1" applyAlignment="1" applyProtection="1">
      <alignment vertical="center"/>
    </xf>
    <xf numFmtId="0" fontId="10" fillId="0" borderId="0" xfId="100" applyAlignment="1" applyProtection="1">
      <alignment horizontal="left" vertical="center"/>
    </xf>
    <xf numFmtId="9" fontId="67" fillId="0" borderId="0" xfId="211" applyNumberFormat="1" applyFont="1" applyProtection="1"/>
    <xf numFmtId="3" fontId="67" fillId="6" borderId="179" xfId="211" applyNumberFormat="1" applyFont="1" applyFill="1" applyBorder="1" applyAlignment="1" applyProtection="1">
      <alignment horizontal="center" vertical="center"/>
    </xf>
    <xf numFmtId="3" fontId="67" fillId="6" borderId="178" xfId="211" applyNumberFormat="1" applyFont="1" applyFill="1" applyBorder="1" applyAlignment="1" applyProtection="1">
      <alignment horizontal="center" vertical="center"/>
    </xf>
    <xf numFmtId="3" fontId="10" fillId="64" borderId="40" xfId="211" quotePrefix="1" applyNumberFormat="1" applyFont="1" applyFill="1" applyBorder="1" applyAlignment="1" applyProtection="1">
      <alignment horizontal="center" vertical="center"/>
    </xf>
    <xf numFmtId="3" fontId="10" fillId="64" borderId="36" xfId="211" quotePrefix="1" applyNumberFormat="1" applyFont="1" applyFill="1" applyBorder="1" applyAlignment="1" applyProtection="1">
      <alignment horizontal="center" vertical="center"/>
    </xf>
    <xf numFmtId="3" fontId="10" fillId="64" borderId="54" xfId="211" quotePrefix="1" applyNumberFormat="1" applyFont="1" applyFill="1" applyBorder="1" applyAlignment="1" applyProtection="1">
      <alignment horizontal="center" vertical="center"/>
    </xf>
    <xf numFmtId="3" fontId="10" fillId="64" borderId="19" xfId="211" quotePrefix="1" applyNumberFormat="1" applyFont="1" applyFill="1" applyBorder="1" applyAlignment="1" applyProtection="1">
      <alignment horizontal="center" vertical="center"/>
    </xf>
    <xf numFmtId="3" fontId="10" fillId="64" borderId="39" xfId="211" quotePrefix="1" applyNumberFormat="1" applyFont="1" applyFill="1" applyBorder="1" applyAlignment="1" applyProtection="1">
      <alignment horizontal="center" vertical="center"/>
    </xf>
    <xf numFmtId="3" fontId="10" fillId="64" borderId="57" xfId="211" quotePrefix="1" applyNumberFormat="1" applyFont="1" applyFill="1" applyBorder="1" applyAlignment="1" applyProtection="1">
      <alignment horizontal="center" vertical="center"/>
    </xf>
    <xf numFmtId="3" fontId="10" fillId="64" borderId="8" xfId="211" quotePrefix="1" applyNumberFormat="1" applyFont="1" applyFill="1" applyBorder="1" applyAlignment="1" applyProtection="1">
      <alignment horizontal="center" vertical="center"/>
    </xf>
    <xf numFmtId="3" fontId="10" fillId="64" borderId="38" xfId="211" quotePrefix="1" applyNumberFormat="1" applyFont="1" applyFill="1" applyBorder="1" applyAlignment="1" applyProtection="1">
      <alignment horizontal="center" vertical="center"/>
    </xf>
    <xf numFmtId="3" fontId="10" fillId="64" borderId="53" xfId="211" quotePrefix="1" applyNumberFormat="1" applyFont="1" applyFill="1" applyBorder="1" applyAlignment="1" applyProtection="1">
      <alignment horizontal="center" vertical="center"/>
    </xf>
    <xf numFmtId="3" fontId="10" fillId="64" borderId="9" xfId="211" quotePrefix="1" applyNumberFormat="1" applyFont="1" applyFill="1" applyBorder="1" applyAlignment="1" applyProtection="1">
      <alignment horizontal="center" vertical="center"/>
    </xf>
    <xf numFmtId="3" fontId="10" fillId="6" borderId="52" xfId="211" applyNumberFormat="1" applyFont="1" applyFill="1" applyBorder="1" applyAlignment="1" applyProtection="1">
      <alignment horizontal="center" vertical="center"/>
    </xf>
    <xf numFmtId="3" fontId="10" fillId="6" borderId="65" xfId="211" applyNumberFormat="1" applyFont="1" applyFill="1" applyBorder="1" applyAlignment="1" applyProtection="1">
      <alignment horizontal="center" vertical="center"/>
    </xf>
    <xf numFmtId="0" fontId="10" fillId="3" borderId="16" xfId="0" applyFont="1" applyFill="1" applyBorder="1" applyAlignment="1" applyProtection="1">
      <alignment horizontal="center" vertical="top" wrapText="1"/>
      <protection locked="0"/>
    </xf>
    <xf numFmtId="168" fontId="10" fillId="3" borderId="16" xfId="4" applyNumberFormat="1" applyFont="1" applyFill="1" applyBorder="1" applyAlignment="1" applyProtection="1">
      <alignment horizontal="center" vertical="top" wrapText="1"/>
      <protection locked="0"/>
    </xf>
    <xf numFmtId="0" fontId="10" fillId="3" borderId="176" xfId="0" applyFont="1" applyFill="1" applyBorder="1" applyAlignment="1" applyProtection="1">
      <alignment vertical="top" wrapText="1"/>
      <protection locked="0"/>
    </xf>
    <xf numFmtId="0" fontId="10" fillId="3" borderId="32" xfId="0" applyFont="1" applyFill="1" applyBorder="1" applyAlignment="1" applyProtection="1">
      <alignment vertical="top" wrapText="1"/>
      <protection locked="0"/>
    </xf>
    <xf numFmtId="3" fontId="10" fillId="0" borderId="52" xfId="211" applyNumberFormat="1" applyFont="1" applyBorder="1" applyAlignment="1" applyProtection="1">
      <alignment horizontal="center" vertical="center"/>
      <protection locked="0"/>
    </xf>
    <xf numFmtId="3" fontId="10" fillId="0" borderId="65" xfId="211" applyNumberFormat="1" applyFont="1" applyBorder="1" applyAlignment="1" applyProtection="1">
      <alignment horizontal="center" vertical="center"/>
      <protection locked="0"/>
    </xf>
    <xf numFmtId="3" fontId="10" fillId="87" borderId="26" xfId="211" applyNumberFormat="1" applyFont="1" applyFill="1" applyBorder="1" applyAlignment="1" applyProtection="1">
      <alignment horizontal="center" vertical="center"/>
      <protection locked="0"/>
    </xf>
    <xf numFmtId="3" fontId="10" fillId="87" borderId="42" xfId="211" applyNumberFormat="1" applyFont="1" applyFill="1" applyBorder="1" applyAlignment="1" applyProtection="1">
      <alignment horizontal="center" vertical="center"/>
      <protection locked="0"/>
    </xf>
    <xf numFmtId="3" fontId="10" fillId="87" borderId="22" xfId="211" applyNumberFormat="1" applyFont="1" applyFill="1" applyBorder="1" applyAlignment="1" applyProtection="1">
      <alignment horizontal="center" vertical="center"/>
      <protection locked="0"/>
    </xf>
    <xf numFmtId="3" fontId="10" fillId="87" borderId="23" xfId="211" applyNumberFormat="1" applyFont="1" applyFill="1" applyBorder="1" applyAlignment="1" applyProtection="1">
      <alignment horizontal="center" vertical="center"/>
      <protection locked="0"/>
    </xf>
    <xf numFmtId="3" fontId="10" fillId="87" borderId="45" xfId="211" applyNumberFormat="1" applyFont="1" applyFill="1" applyBorder="1" applyAlignment="1" applyProtection="1">
      <alignment horizontal="center" vertical="center"/>
      <protection locked="0"/>
    </xf>
    <xf numFmtId="3" fontId="10" fillId="87" borderId="25" xfId="211" applyNumberFormat="1" applyFont="1" applyFill="1" applyBorder="1" applyAlignment="1" applyProtection="1">
      <alignment horizontal="center" vertical="center"/>
      <protection locked="0"/>
    </xf>
    <xf numFmtId="168" fontId="10" fillId="0" borderId="6" xfId="0" applyNumberFormat="1" applyFont="1" applyBorder="1" applyAlignment="1" applyProtection="1">
      <alignment horizontal="center" vertical="center"/>
      <protection locked="0"/>
    </xf>
    <xf numFmtId="168" fontId="10" fillId="0" borderId="86" xfId="0" applyNumberFormat="1" applyFont="1" applyBorder="1" applyAlignment="1" applyProtection="1">
      <alignment horizontal="center" vertical="center"/>
      <protection locked="0"/>
    </xf>
    <xf numFmtId="168" fontId="10" fillId="0" borderId="175" xfId="0" applyNumberFormat="1" applyFont="1" applyBorder="1" applyAlignment="1" applyProtection="1">
      <alignment horizontal="center" vertical="center"/>
      <protection locked="0"/>
    </xf>
    <xf numFmtId="168" fontId="10" fillId="0" borderId="77" xfId="0" applyNumberFormat="1" applyFont="1" applyBorder="1" applyAlignment="1" applyProtection="1">
      <alignment horizontal="center" vertical="center"/>
      <protection locked="0"/>
    </xf>
    <xf numFmtId="0" fontId="67" fillId="0" borderId="51" xfId="211" applyFont="1" applyBorder="1" applyAlignment="1" applyProtection="1">
      <alignment horizontal="left" vertical="center"/>
    </xf>
    <xf numFmtId="0" fontId="67" fillId="0" borderId="49" xfId="211" applyFont="1" applyBorder="1" applyAlignment="1" applyProtection="1">
      <alignment horizontal="left" vertical="center"/>
    </xf>
    <xf numFmtId="0" fontId="10" fillId="0" borderId="49" xfId="100" applyBorder="1" applyAlignment="1" applyProtection="1">
      <alignment vertical="center"/>
    </xf>
    <xf numFmtId="0" fontId="10" fillId="0" borderId="46" xfId="100" applyBorder="1" applyAlignment="1" applyProtection="1">
      <alignment vertical="center"/>
    </xf>
    <xf numFmtId="9" fontId="67" fillId="0" borderId="28" xfId="211" applyNumberFormat="1" applyFont="1" applyBorder="1" applyAlignment="1" applyProtection="1">
      <alignment horizontal="center" vertical="center"/>
    </xf>
    <xf numFmtId="9" fontId="67" fillId="0" borderId="29" xfId="211" applyNumberFormat="1" applyFont="1" applyBorder="1" applyAlignment="1" applyProtection="1">
      <alignment horizontal="center" vertical="center"/>
    </xf>
    <xf numFmtId="0" fontId="10" fillId="0" borderId="29" xfId="100" quotePrefix="1" applyBorder="1" applyAlignment="1" applyProtection="1">
      <alignment vertical="center"/>
    </xf>
    <xf numFmtId="0" fontId="10" fillId="0" borderId="14" xfId="100" applyBorder="1" applyAlignment="1" applyProtection="1">
      <alignment vertical="center"/>
    </xf>
    <xf numFmtId="3" fontId="67" fillId="6" borderId="20" xfId="211" applyNumberFormat="1" applyFont="1" applyFill="1" applyBorder="1" applyAlignment="1">
      <alignment horizontal="center" vertical="center"/>
    </xf>
    <xf numFmtId="3" fontId="67" fillId="6" borderId="104" xfId="211" applyNumberFormat="1" applyFont="1" applyFill="1" applyBorder="1" applyAlignment="1">
      <alignment horizontal="center" vertical="center"/>
    </xf>
    <xf numFmtId="0" fontId="67" fillId="6" borderId="103" xfId="211" applyFont="1" applyFill="1" applyBorder="1" applyAlignment="1" applyProtection="1">
      <alignment horizontal="center" wrapText="1"/>
    </xf>
    <xf numFmtId="0" fontId="67" fillId="6" borderId="41" xfId="211" applyFont="1" applyFill="1" applyBorder="1" applyAlignment="1" applyProtection="1">
      <alignment horizontal="center" wrapText="1"/>
    </xf>
    <xf numFmtId="0" fontId="11" fillId="5" borderId="5" xfId="0" applyFont="1" applyFill="1" applyBorder="1" applyAlignment="1" applyProtection="1">
      <alignment horizontal="center" vertical="top" wrapText="1"/>
    </xf>
    <xf numFmtId="0" fontId="67" fillId="6" borderId="112" xfId="211" applyFont="1" applyFill="1" applyBorder="1" applyAlignment="1" applyProtection="1">
      <alignment vertical="center"/>
    </xf>
    <xf numFmtId="0" fontId="67" fillId="6" borderId="108" xfId="211" applyFont="1" applyFill="1" applyBorder="1" applyAlignment="1" applyProtection="1">
      <alignment vertical="center"/>
    </xf>
    <xf numFmtId="0" fontId="67" fillId="6" borderId="106" xfId="211" applyFont="1" applyFill="1" applyBorder="1" applyAlignment="1" applyProtection="1">
      <alignment vertical="center"/>
    </xf>
    <xf numFmtId="0" fontId="67" fillId="6" borderId="110" xfId="211" applyFont="1" applyFill="1" applyBorder="1" applyAlignment="1" applyProtection="1">
      <alignment vertical="center"/>
    </xf>
    <xf numFmtId="0" fontId="67" fillId="6" borderId="181" xfId="211" applyFont="1" applyFill="1" applyBorder="1" applyAlignment="1" applyProtection="1">
      <alignment horizontal="center" wrapText="1"/>
    </xf>
    <xf numFmtId="3" fontId="10" fillId="6" borderId="173" xfId="211" applyNumberFormat="1" applyFont="1" applyFill="1" applyBorder="1" applyAlignment="1" applyProtection="1">
      <alignment horizontal="center" vertical="center"/>
    </xf>
    <xf numFmtId="3" fontId="10" fillId="87" borderId="40" xfId="211" applyNumberFormat="1" applyFont="1" applyFill="1" applyBorder="1" applyAlignment="1" applyProtection="1">
      <alignment horizontal="center" vertical="center"/>
      <protection locked="0"/>
    </xf>
    <xf numFmtId="3" fontId="10" fillId="87" borderId="2" xfId="211" applyNumberFormat="1" applyFont="1" applyFill="1" applyBorder="1" applyAlignment="1" applyProtection="1">
      <alignment horizontal="center" vertical="center"/>
      <protection locked="0"/>
    </xf>
    <xf numFmtId="3" fontId="10" fillId="87" borderId="1" xfId="211" applyNumberFormat="1" applyFont="1" applyFill="1" applyBorder="1" applyAlignment="1" applyProtection="1">
      <alignment horizontal="center" vertical="center"/>
      <protection locked="0"/>
    </xf>
    <xf numFmtId="3" fontId="67" fillId="6" borderId="65" xfId="211" applyNumberFormat="1" applyFont="1" applyFill="1" applyBorder="1" applyAlignment="1">
      <alignment horizontal="center" vertical="center"/>
    </xf>
    <xf numFmtId="3" fontId="67" fillId="6" borderId="2" xfId="211" applyNumberFormat="1" applyFont="1" applyFill="1" applyBorder="1" applyAlignment="1">
      <alignment horizontal="center" vertical="center"/>
    </xf>
    <xf numFmtId="3" fontId="67" fillId="6" borderId="23" xfId="211" applyNumberFormat="1" applyFont="1" applyFill="1" applyBorder="1" applyAlignment="1">
      <alignment horizontal="center" vertical="center"/>
    </xf>
    <xf numFmtId="3" fontId="67" fillId="6" borderId="1" xfId="211" applyNumberFormat="1" applyFont="1" applyFill="1" applyBorder="1" applyAlignment="1">
      <alignment horizontal="center" vertical="center"/>
    </xf>
    <xf numFmtId="3" fontId="67" fillId="6" borderId="25" xfId="211" applyNumberFormat="1" applyFont="1" applyFill="1" applyBorder="1" applyAlignment="1">
      <alignment horizontal="center" vertical="center"/>
    </xf>
    <xf numFmtId="3" fontId="67" fillId="6" borderId="35" xfId="211" applyNumberFormat="1" applyFont="1" applyFill="1" applyBorder="1" applyAlignment="1">
      <alignment horizontal="center" vertical="center"/>
    </xf>
    <xf numFmtId="0" fontId="10" fillId="5" borderId="19" xfId="0" applyFont="1" applyFill="1" applyBorder="1" applyAlignment="1" applyProtection="1">
      <alignment vertical="top" wrapText="1"/>
    </xf>
    <xf numFmtId="0" fontId="10" fillId="0" borderId="7" xfId="0" applyFont="1" applyBorder="1" applyAlignment="1" applyProtection="1">
      <alignment horizontal="center" vertical="top" wrapText="1"/>
      <protection locked="0"/>
    </xf>
    <xf numFmtId="0" fontId="10" fillId="0" borderId="16" xfId="0" applyFont="1" applyBorder="1" applyAlignment="1" applyProtection="1">
      <alignment horizontal="center" vertical="top" wrapText="1"/>
      <protection locked="0"/>
    </xf>
    <xf numFmtId="0" fontId="10" fillId="0" borderId="30" xfId="0" applyFont="1" applyBorder="1" applyAlignment="1" applyProtection="1">
      <alignment horizontal="center" vertical="top" wrapText="1"/>
      <protection locked="0"/>
    </xf>
    <xf numFmtId="0" fontId="10" fillId="0" borderId="24" xfId="0" applyFont="1" applyBorder="1" applyAlignment="1" applyProtection="1">
      <alignment horizontal="center" vertical="top" wrapText="1"/>
      <protection locked="0"/>
    </xf>
    <xf numFmtId="0" fontId="10" fillId="5" borderId="4" xfId="0" applyFont="1" applyFill="1" applyBorder="1" applyAlignment="1" applyProtection="1">
      <alignment horizontal="center" vertical="top" wrapText="1"/>
    </xf>
    <xf numFmtId="0" fontId="10" fillId="5" borderId="5" xfId="0" applyFont="1" applyFill="1" applyBorder="1" applyAlignment="1" applyProtection="1">
      <alignment horizontal="center" vertical="top" wrapText="1"/>
    </xf>
    <xf numFmtId="0" fontId="10" fillId="0" borderId="6" xfId="0" applyFont="1" applyBorder="1" applyAlignment="1" applyProtection="1">
      <alignment horizontal="center" vertical="top" wrapText="1"/>
      <protection locked="0"/>
    </xf>
    <xf numFmtId="0" fontId="10" fillId="0" borderId="15" xfId="0" applyFont="1" applyBorder="1" applyAlignment="1" applyProtection="1">
      <alignment horizontal="center" vertical="top" wrapText="1"/>
      <protection locked="0"/>
    </xf>
    <xf numFmtId="0" fontId="11" fillId="5" borderId="12" xfId="0" applyFont="1" applyFill="1" applyBorder="1" applyAlignment="1" applyProtection="1">
      <alignment horizontal="left" vertical="top" wrapText="1"/>
    </xf>
    <xf numFmtId="0" fontId="11" fillId="5" borderId="13" xfId="0" applyFont="1" applyFill="1" applyBorder="1" applyAlignment="1" applyProtection="1">
      <alignment horizontal="left" vertical="top" wrapText="1"/>
    </xf>
    <xf numFmtId="0" fontId="11" fillId="5" borderId="11" xfId="0" applyFont="1" applyFill="1" applyBorder="1" applyAlignment="1" applyProtection="1">
      <alignment horizontal="left" vertical="top" wrapText="1"/>
    </xf>
    <xf numFmtId="0" fontId="10" fillId="0" borderId="55" xfId="0" applyFont="1" applyBorder="1" applyAlignment="1" applyProtection="1">
      <alignment horizontal="center" vertical="top" wrapText="1"/>
      <protection locked="0"/>
    </xf>
    <xf numFmtId="0" fontId="10" fillId="0" borderId="21" xfId="0" applyFont="1" applyBorder="1" applyAlignment="1" applyProtection="1">
      <alignment horizontal="center" vertical="top" wrapText="1"/>
      <protection locked="0"/>
    </xf>
    <xf numFmtId="0" fontId="11" fillId="5" borderId="12" xfId="0" applyFont="1" applyFill="1" applyBorder="1" applyAlignment="1" applyProtection="1">
      <alignment horizontal="right" vertical="top" wrapText="1"/>
    </xf>
    <xf numFmtId="0" fontId="11" fillId="5" borderId="13" xfId="0" applyFont="1" applyFill="1" applyBorder="1" applyAlignment="1" applyProtection="1">
      <alignment horizontal="right" vertical="top" wrapText="1"/>
    </xf>
    <xf numFmtId="0" fontId="11" fillId="5" borderId="11" xfId="0" applyFont="1" applyFill="1" applyBorder="1" applyAlignment="1" applyProtection="1">
      <alignment horizontal="right" vertical="top" wrapText="1"/>
    </xf>
    <xf numFmtId="0" fontId="11" fillId="5" borderId="12" xfId="0" quotePrefix="1" applyFont="1" applyFill="1" applyBorder="1" applyAlignment="1" applyProtection="1">
      <alignment horizontal="right" vertical="top" wrapText="1"/>
    </xf>
    <xf numFmtId="0" fontId="11" fillId="5" borderId="28" xfId="0" applyFont="1" applyFill="1" applyBorder="1" applyAlignment="1" applyProtection="1">
      <alignment horizontal="right" vertical="top" wrapText="1" indent="1"/>
    </xf>
    <xf numFmtId="0" fontId="11" fillId="5" borderId="14" xfId="0" applyFont="1" applyFill="1" applyBorder="1" applyAlignment="1" applyProtection="1">
      <alignment horizontal="right" vertical="top" wrapText="1" indent="1"/>
    </xf>
    <xf numFmtId="0" fontId="11" fillId="5" borderId="7" xfId="0" applyFont="1" applyFill="1" applyBorder="1" applyAlignment="1" applyProtection="1">
      <alignment horizontal="right" vertical="top" wrapText="1" indent="1"/>
    </xf>
    <xf numFmtId="0" fontId="11" fillId="5" borderId="16" xfId="0" applyFont="1" applyFill="1" applyBorder="1" applyAlignment="1" applyProtection="1">
      <alignment horizontal="right" vertical="top" wrapText="1" indent="1"/>
    </xf>
    <xf numFmtId="0" fontId="11" fillId="5" borderId="12" xfId="0" applyFont="1" applyFill="1" applyBorder="1" applyAlignment="1" applyProtection="1">
      <alignment horizontal="center" vertical="top" wrapText="1"/>
    </xf>
    <xf numFmtId="0" fontId="11" fillId="5" borderId="13" xfId="0" applyFont="1" applyFill="1" applyBorder="1" applyAlignment="1" applyProtection="1">
      <alignment horizontal="center" vertical="top" wrapText="1"/>
    </xf>
    <xf numFmtId="0" fontId="11" fillId="5" borderId="11" xfId="0" applyFont="1" applyFill="1" applyBorder="1" applyAlignment="1" applyProtection="1">
      <alignment horizontal="center" vertical="top" wrapText="1"/>
    </xf>
    <xf numFmtId="0" fontId="11" fillId="5" borderId="7" xfId="0" quotePrefix="1" applyFont="1" applyFill="1" applyBorder="1" applyAlignment="1" applyProtection="1">
      <alignment horizontal="right" vertical="top" wrapText="1" indent="1"/>
    </xf>
    <xf numFmtId="0" fontId="13" fillId="5" borderId="3" xfId="0" applyFont="1" applyFill="1" applyBorder="1" applyAlignment="1" applyProtection="1">
      <alignment horizontal="right" vertical="top" wrapText="1"/>
    </xf>
    <xf numFmtId="0" fontId="13" fillId="5" borderId="4" xfId="0" applyFont="1" applyFill="1" applyBorder="1" applyAlignment="1" applyProtection="1">
      <alignment horizontal="right" vertical="top" wrapText="1"/>
    </xf>
    <xf numFmtId="0" fontId="13" fillId="5" borderId="5" xfId="0" applyFont="1" applyFill="1" applyBorder="1" applyAlignment="1" applyProtection="1">
      <alignment horizontal="right" vertical="top" wrapText="1"/>
    </xf>
    <xf numFmtId="0" fontId="8" fillId="5" borderId="3" xfId="0" applyFont="1" applyFill="1" applyBorder="1" applyAlignment="1" applyProtection="1">
      <alignment horizontal="center" vertical="top" wrapText="1"/>
    </xf>
    <xf numFmtId="0" fontId="8" fillId="5" borderId="4" xfId="0" applyFont="1" applyFill="1" applyBorder="1" applyAlignment="1" applyProtection="1">
      <alignment horizontal="center" vertical="top" wrapText="1"/>
    </xf>
    <xf numFmtId="0" fontId="8" fillId="5" borderId="5" xfId="0" applyFont="1" applyFill="1" applyBorder="1" applyAlignment="1" applyProtection="1">
      <alignment horizontal="center" vertical="top" wrapText="1"/>
    </xf>
    <xf numFmtId="0" fontId="10" fillId="0" borderId="3"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0" fontId="10" fillId="0" borderId="28" xfId="0" applyFont="1" applyBorder="1" applyAlignment="1" applyProtection="1">
      <alignment horizontal="center" vertical="top" wrapText="1"/>
      <protection locked="0"/>
    </xf>
    <xf numFmtId="0" fontId="10" fillId="0" borderId="14" xfId="0" applyFont="1" applyBorder="1" applyAlignment="1" applyProtection="1">
      <alignment horizontal="center" vertical="top" wrapText="1"/>
      <protection locked="0"/>
    </xf>
    <xf numFmtId="0" fontId="13" fillId="5" borderId="3" xfId="0" applyFont="1" applyFill="1" applyBorder="1" applyAlignment="1" applyProtection="1">
      <alignment horizontal="center" vertical="top" wrapText="1"/>
    </xf>
    <xf numFmtId="0" fontId="13" fillId="5" borderId="4" xfId="0" applyFont="1" applyFill="1" applyBorder="1" applyAlignment="1" applyProtection="1">
      <alignment horizontal="center" vertical="top" wrapText="1"/>
    </xf>
    <xf numFmtId="0" fontId="13" fillId="5" borderId="5" xfId="0" applyFont="1" applyFill="1" applyBorder="1" applyAlignment="1" applyProtection="1">
      <alignment horizontal="center" vertical="top" wrapText="1"/>
    </xf>
    <xf numFmtId="0" fontId="11" fillId="5" borderId="3" xfId="0" applyFont="1" applyFill="1" applyBorder="1" applyAlignment="1" applyProtection="1">
      <alignment horizontal="left" vertical="top" wrapText="1"/>
    </xf>
    <xf numFmtId="0" fontId="11" fillId="5" borderId="5" xfId="0" applyFont="1" applyFill="1" applyBorder="1" applyAlignment="1" applyProtection="1">
      <alignment horizontal="left" vertical="top" wrapText="1"/>
    </xf>
    <xf numFmtId="0" fontId="11" fillId="5" borderId="12" xfId="0" applyFont="1" applyFill="1" applyBorder="1" applyAlignment="1" applyProtection="1">
      <alignment vertical="top" wrapText="1"/>
    </xf>
    <xf numFmtId="0" fontId="11" fillId="5" borderId="13" xfId="0" applyFont="1" applyFill="1" applyBorder="1" applyAlignment="1" applyProtection="1">
      <alignment vertical="top" wrapText="1"/>
    </xf>
    <xf numFmtId="0" fontId="11" fillId="5" borderId="11" xfId="0" applyFont="1" applyFill="1" applyBorder="1" applyAlignment="1" applyProtection="1">
      <alignment vertical="top" wrapText="1"/>
    </xf>
    <xf numFmtId="0" fontId="11" fillId="5" borderId="3" xfId="0" applyFont="1" applyFill="1" applyBorder="1" applyAlignment="1" applyProtection="1">
      <alignment horizontal="center" vertical="top" wrapText="1"/>
    </xf>
    <xf numFmtId="0" fontId="11" fillId="5" borderId="4" xfId="0" applyFont="1" applyFill="1" applyBorder="1" applyAlignment="1" applyProtection="1">
      <alignment horizontal="center" vertical="top" wrapText="1"/>
    </xf>
    <xf numFmtId="0" fontId="11" fillId="5" borderId="5" xfId="0" applyFont="1" applyFill="1" applyBorder="1" applyAlignment="1" applyProtection="1">
      <alignment horizontal="center" vertical="top" wrapText="1"/>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10" fillId="0" borderId="40" xfId="0" applyFont="1" applyBorder="1" applyAlignment="1" applyProtection="1">
      <alignment horizontal="center" vertical="top" wrapText="1"/>
      <protection locked="0"/>
    </xf>
    <xf numFmtId="0" fontId="10" fillId="0" borderId="42" xfId="0" applyFont="1" applyBorder="1" applyAlignment="1" applyProtection="1">
      <alignment horizontal="center" vertical="top" wrapText="1"/>
      <protection locked="0"/>
    </xf>
    <xf numFmtId="0" fontId="11" fillId="5" borderId="3" xfId="0" quotePrefix="1" applyFont="1" applyFill="1" applyBorder="1" applyAlignment="1" applyProtection="1">
      <alignment horizontal="left" wrapText="1"/>
    </xf>
    <xf numFmtId="0" fontId="11" fillId="5" borderId="5" xfId="0" quotePrefix="1" applyFont="1" applyFill="1" applyBorder="1" applyAlignment="1" applyProtection="1">
      <alignment horizontal="left" wrapText="1"/>
    </xf>
    <xf numFmtId="3" fontId="10" fillId="0" borderId="3" xfId="0" applyNumberFormat="1" applyFont="1" applyBorder="1" applyAlignment="1" applyProtection="1">
      <alignment horizontal="center" vertical="center" wrapText="1"/>
      <protection locked="0"/>
    </xf>
    <xf numFmtId="3" fontId="10" fillId="0" borderId="5" xfId="0" applyNumberFormat="1" applyFont="1" applyBorder="1" applyAlignment="1" applyProtection="1">
      <alignment horizontal="center" vertical="center" wrapText="1"/>
      <protection locked="0"/>
    </xf>
    <xf numFmtId="0" fontId="10" fillId="0" borderId="3"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1" fillId="5" borderId="6" xfId="0" quotePrefix="1" applyFont="1" applyFill="1" applyBorder="1" applyAlignment="1" applyProtection="1">
      <alignment horizontal="right" vertical="top" wrapText="1" indent="1"/>
    </xf>
    <xf numFmtId="0" fontId="11" fillId="5" borderId="15" xfId="0" quotePrefix="1" applyFont="1" applyFill="1" applyBorder="1" applyAlignment="1" applyProtection="1">
      <alignment horizontal="right" vertical="top" wrapText="1" indent="1"/>
    </xf>
    <xf numFmtId="166" fontId="10" fillId="5" borderId="3" xfId="4" applyNumberFormat="1" applyFont="1" applyFill="1" applyBorder="1" applyAlignment="1" applyProtection="1">
      <alignment vertical="top" wrapText="1"/>
    </xf>
    <xf numFmtId="166" fontId="10" fillId="5" borderId="5" xfId="4" applyNumberFormat="1" applyFont="1" applyFill="1" applyBorder="1" applyAlignment="1" applyProtection="1">
      <alignment vertical="top" wrapText="1"/>
    </xf>
    <xf numFmtId="0" fontId="0" fillId="5" borderId="5" xfId="0" applyFill="1" applyBorder="1" applyAlignment="1" applyProtection="1">
      <alignment horizontal="left" vertical="top" wrapText="1"/>
    </xf>
    <xf numFmtId="0" fontId="11" fillId="5" borderId="51" xfId="0" applyFont="1" applyFill="1" applyBorder="1" applyAlignment="1" applyProtection="1">
      <alignment horizontal="left" vertical="top" wrapText="1"/>
    </xf>
    <xf numFmtId="0" fontId="11" fillId="5" borderId="46" xfId="0" applyFont="1" applyFill="1" applyBorder="1" applyAlignment="1" applyProtection="1">
      <alignment horizontal="left" vertical="top" wrapText="1"/>
    </xf>
    <xf numFmtId="3" fontId="10" fillId="5" borderId="28" xfId="0" applyNumberFormat="1" applyFont="1" applyFill="1" applyBorder="1" applyAlignment="1" applyProtection="1">
      <alignment horizontal="center" vertical="top" wrapText="1"/>
      <protection locked="0"/>
    </xf>
    <xf numFmtId="3" fontId="10" fillId="5" borderId="14" xfId="0" applyNumberFormat="1" applyFont="1" applyFill="1" applyBorder="1" applyAlignment="1" applyProtection="1">
      <alignment horizontal="center" vertical="top" wrapText="1"/>
      <protection locked="0"/>
    </xf>
    <xf numFmtId="0" fontId="11" fillId="5" borderId="28" xfId="0" applyFont="1" applyFill="1" applyBorder="1" applyAlignment="1" applyProtection="1">
      <alignment horizontal="left" vertical="top" wrapText="1"/>
    </xf>
    <xf numFmtId="0" fontId="11" fillId="5" borderId="14" xfId="0" applyFont="1" applyFill="1" applyBorder="1" applyAlignment="1" applyProtection="1">
      <alignment horizontal="left" vertical="top" wrapText="1"/>
    </xf>
    <xf numFmtId="0" fontId="11" fillId="5" borderId="13" xfId="0" quotePrefix="1" applyFont="1" applyFill="1" applyBorder="1" applyAlignment="1" applyProtection="1">
      <alignment horizontal="right" vertical="top" wrapText="1"/>
    </xf>
    <xf numFmtId="0" fontId="11" fillId="5" borderId="11" xfId="0" quotePrefix="1" applyFont="1" applyFill="1" applyBorder="1" applyAlignment="1" applyProtection="1">
      <alignment horizontal="right" vertical="top" wrapText="1"/>
    </xf>
    <xf numFmtId="0" fontId="10" fillId="0" borderId="49" xfId="0" quotePrefix="1" applyFont="1" applyFill="1" applyBorder="1" applyAlignment="1" applyProtection="1">
      <alignment horizontal="left" vertical="top" wrapText="1"/>
    </xf>
    <xf numFmtId="0" fontId="4" fillId="0" borderId="49" xfId="0" applyFont="1" applyFill="1" applyBorder="1" applyAlignment="1" applyProtection="1">
      <alignment horizontal="left" vertical="top" wrapText="1"/>
    </xf>
    <xf numFmtId="0" fontId="71" fillId="6" borderId="6" xfId="211" applyFont="1" applyFill="1" applyBorder="1" applyAlignment="1" applyProtection="1">
      <alignment horizontal="center" wrapText="1"/>
    </xf>
    <xf numFmtId="0" fontId="71" fillId="6" borderId="15" xfId="211" applyFont="1" applyFill="1" applyBorder="1" applyAlignment="1" applyProtection="1">
      <alignment horizontal="center" wrapText="1"/>
    </xf>
    <xf numFmtId="0" fontId="71" fillId="6" borderId="51" xfId="211" applyFont="1" applyFill="1" applyBorder="1" applyAlignment="1" applyProtection="1">
      <alignment horizontal="left" wrapText="1"/>
    </xf>
    <xf numFmtId="0" fontId="71" fillId="6" borderId="49" xfId="211" applyFont="1" applyFill="1" applyBorder="1" applyAlignment="1" applyProtection="1">
      <alignment horizontal="left" wrapText="1"/>
    </xf>
    <xf numFmtId="0" fontId="71" fillId="6" borderId="46" xfId="211" applyFont="1" applyFill="1" applyBorder="1" applyAlignment="1" applyProtection="1">
      <alignment horizontal="left" wrapText="1"/>
    </xf>
    <xf numFmtId="0" fontId="71" fillId="6" borderId="28" xfId="211" applyFont="1" applyFill="1" applyBorder="1" applyAlignment="1" applyProtection="1">
      <alignment horizontal="left" wrapText="1"/>
    </xf>
    <xf numFmtId="0" fontId="71" fillId="6" borderId="29" xfId="211" applyFont="1" applyFill="1" applyBorder="1" applyAlignment="1" applyProtection="1">
      <alignment horizontal="left" wrapText="1"/>
    </xf>
    <xf numFmtId="0" fontId="71" fillId="6" borderId="14" xfId="211" applyFont="1" applyFill="1" applyBorder="1" applyAlignment="1" applyProtection="1">
      <alignment horizontal="left" wrapText="1"/>
    </xf>
    <xf numFmtId="0" fontId="67" fillId="6" borderId="35" xfId="211" applyFont="1" applyFill="1" applyBorder="1" applyAlignment="1" applyProtection="1">
      <alignment horizontal="left" vertical="center" wrapText="1"/>
    </xf>
    <xf numFmtId="0" fontId="67" fillId="6" borderId="2" xfId="211" applyFont="1" applyFill="1" applyBorder="1" applyAlignment="1" applyProtection="1">
      <alignment horizontal="left" vertical="center" wrapText="1"/>
    </xf>
    <xf numFmtId="0" fontId="71" fillId="6" borderId="12" xfId="211" applyFont="1" applyFill="1" applyBorder="1" applyAlignment="1" applyProtection="1">
      <alignment horizontal="center" wrapText="1"/>
    </xf>
    <xf numFmtId="0" fontId="71" fillId="6" borderId="13" xfId="211" applyFont="1" applyFill="1" applyBorder="1" applyAlignment="1" applyProtection="1">
      <alignment horizontal="center" wrapText="1"/>
    </xf>
    <xf numFmtId="0" fontId="71" fillId="6" borderId="33" xfId="211" applyFont="1" applyFill="1" applyBorder="1" applyAlignment="1" applyProtection="1">
      <alignment horizontal="left" wrapText="1"/>
    </xf>
    <xf numFmtId="0" fontId="71" fillId="6" borderId="34" xfId="211" applyFont="1" applyFill="1" applyBorder="1" applyAlignment="1" applyProtection="1">
      <alignment horizontal="left" wrapText="1"/>
    </xf>
    <xf numFmtId="0" fontId="71" fillId="6" borderId="62" xfId="211" applyFont="1" applyFill="1" applyBorder="1" applyAlignment="1" applyProtection="1">
      <alignment horizontal="left" wrapText="1"/>
    </xf>
    <xf numFmtId="0" fontId="71" fillId="6" borderId="104" xfId="211" applyFont="1" applyFill="1" applyBorder="1" applyAlignment="1" applyProtection="1">
      <alignment horizontal="left" wrapText="1"/>
    </xf>
    <xf numFmtId="0" fontId="71" fillId="6" borderId="11" xfId="211" applyFont="1" applyFill="1" applyBorder="1" applyAlignment="1" applyProtection="1">
      <alignment horizontal="center" wrapText="1"/>
    </xf>
    <xf numFmtId="1" fontId="67" fillId="0" borderId="60" xfId="211" applyNumberFormat="1" applyFont="1" applyBorder="1" applyAlignment="1" applyProtection="1">
      <alignment horizontal="center" vertical="center"/>
      <protection locked="0"/>
    </xf>
    <xf numFmtId="1" fontId="67" fillId="0" borderId="47" xfId="211" applyNumberFormat="1" applyFont="1" applyBorder="1" applyAlignment="1" applyProtection="1">
      <alignment horizontal="center" vertical="center"/>
      <protection locked="0"/>
    </xf>
    <xf numFmtId="0" fontId="67" fillId="6" borderId="51" xfId="211" applyFont="1" applyFill="1" applyBorder="1" applyAlignment="1" applyProtection="1">
      <alignment horizontal="left" vertical="center" wrapText="1"/>
    </xf>
    <xf numFmtId="0" fontId="67" fillId="6" borderId="49" xfId="211" applyFont="1" applyFill="1" applyBorder="1" applyAlignment="1" applyProtection="1">
      <alignment horizontal="left" vertical="center" wrapText="1"/>
    </xf>
    <xf numFmtId="0" fontId="67" fillId="6" borderId="46" xfId="211" applyFont="1" applyFill="1" applyBorder="1" applyAlignment="1" applyProtection="1">
      <alignment horizontal="left" vertical="center" wrapText="1"/>
    </xf>
    <xf numFmtId="0" fontId="67" fillId="6" borderId="27" xfId="211" applyFont="1" applyFill="1" applyBorder="1" applyAlignment="1" applyProtection="1">
      <alignment horizontal="left" vertical="center" wrapText="1"/>
    </xf>
    <xf numFmtId="0" fontId="67" fillId="6" borderId="0" xfId="211" applyFont="1" applyFill="1" applyBorder="1" applyAlignment="1" applyProtection="1">
      <alignment horizontal="left" vertical="center" wrapText="1"/>
    </xf>
    <xf numFmtId="0" fontId="67" fillId="6" borderId="18" xfId="211" applyFont="1" applyFill="1" applyBorder="1" applyAlignment="1" applyProtection="1">
      <alignment horizontal="left" vertical="center" wrapText="1"/>
    </xf>
    <xf numFmtId="0" fontId="6" fillId="5" borderId="3" xfId="0" applyFont="1" applyFill="1" applyBorder="1" applyAlignment="1" applyProtection="1">
      <alignment horizontal="center"/>
    </xf>
    <xf numFmtId="0" fontId="6" fillId="5" borderId="4" xfId="0" applyFont="1" applyFill="1" applyBorder="1" applyAlignment="1" applyProtection="1">
      <alignment horizontal="center"/>
    </xf>
    <xf numFmtId="0" fontId="6" fillId="5" borderId="5" xfId="0" applyFont="1" applyFill="1" applyBorder="1" applyAlignment="1" applyProtection="1">
      <alignment horizontal="center"/>
    </xf>
    <xf numFmtId="0" fontId="116" fillId="0" borderId="0" xfId="211" applyFont="1" applyBorder="1" applyAlignment="1" applyProtection="1">
      <alignment horizontal="center" vertical="center" wrapText="1"/>
    </xf>
    <xf numFmtId="0" fontId="72" fillId="0" borderId="3" xfId="211" applyFont="1" applyFill="1" applyBorder="1" applyAlignment="1" applyProtection="1">
      <alignment horizontal="center"/>
    </xf>
    <xf numFmtId="0" fontId="72" fillId="0" borderId="4" xfId="211" applyFont="1" applyFill="1" applyBorder="1" applyAlignment="1" applyProtection="1">
      <alignment horizontal="center"/>
    </xf>
    <xf numFmtId="0" fontId="72" fillId="0" borderId="5" xfId="211" applyFont="1" applyFill="1" applyBorder="1" applyAlignment="1" applyProtection="1">
      <alignment horizontal="center"/>
    </xf>
    <xf numFmtId="0" fontId="67" fillId="0" borderId="2" xfId="211" applyFont="1" applyFill="1" applyBorder="1" applyAlignment="1" applyProtection="1">
      <alignment horizontal="left" vertical="center" wrapText="1"/>
      <protection locked="0"/>
    </xf>
    <xf numFmtId="0" fontId="67" fillId="0" borderId="7" xfId="211" applyFont="1" applyBorder="1" applyAlignment="1" applyProtection="1">
      <alignment horizontal="left" vertical="center" wrapText="1"/>
      <protection locked="0"/>
    </xf>
    <xf numFmtId="0" fontId="67" fillId="0" borderId="47" xfId="211" applyFont="1" applyBorder="1" applyAlignment="1" applyProtection="1">
      <alignment horizontal="left" vertical="center" wrapText="1"/>
      <protection locked="0"/>
    </xf>
    <xf numFmtId="0" fontId="67" fillId="0" borderId="16" xfId="211" applyFont="1" applyBorder="1" applyAlignment="1" applyProtection="1">
      <alignment horizontal="left" vertical="center" wrapText="1"/>
      <protection locked="0"/>
    </xf>
    <xf numFmtId="1" fontId="67" fillId="6" borderId="47" xfId="211" applyNumberFormat="1" applyFont="1" applyFill="1" applyBorder="1" applyAlignment="1" applyProtection="1">
      <alignment horizontal="center" vertical="center"/>
    </xf>
    <xf numFmtId="0" fontId="67" fillId="6" borderId="7" xfId="211" applyFont="1" applyFill="1" applyBorder="1" applyAlignment="1" applyProtection="1">
      <alignment horizontal="left" vertical="center" wrapText="1"/>
    </xf>
    <xf numFmtId="0" fontId="67" fillId="6" borderId="47" xfId="211" applyFont="1" applyFill="1" applyBorder="1" applyAlignment="1" applyProtection="1">
      <alignment horizontal="left" vertical="center" wrapText="1"/>
    </xf>
    <xf numFmtId="0" fontId="67" fillId="6" borderId="16" xfId="211" applyFont="1" applyFill="1" applyBorder="1" applyAlignment="1" applyProtection="1">
      <alignment horizontal="left" vertical="center" wrapText="1"/>
    </xf>
    <xf numFmtId="0" fontId="67" fillId="0" borderId="103" xfId="211" applyFont="1" applyFill="1" applyBorder="1" applyAlignment="1" applyProtection="1">
      <alignment horizontal="left" vertical="center" wrapText="1"/>
      <protection locked="0"/>
    </xf>
    <xf numFmtId="1" fontId="67" fillId="0" borderId="177" xfId="211" applyNumberFormat="1" applyFont="1" applyBorder="1" applyAlignment="1" applyProtection="1">
      <alignment horizontal="center" vertical="center"/>
      <protection locked="0"/>
    </xf>
    <xf numFmtId="0" fontId="67" fillId="0" borderId="27" xfId="211" applyFont="1" applyBorder="1" applyAlignment="1" applyProtection="1">
      <alignment horizontal="left" vertical="center" wrapText="1"/>
      <protection locked="0"/>
    </xf>
    <xf numFmtId="0" fontId="67" fillId="0" borderId="0" xfId="211" applyFont="1" applyBorder="1" applyAlignment="1" applyProtection="1">
      <alignment horizontal="left" vertical="center" wrapText="1"/>
      <protection locked="0"/>
    </xf>
    <xf numFmtId="0" fontId="67" fillId="0" borderId="18" xfId="211" applyFont="1" applyBorder="1" applyAlignment="1" applyProtection="1">
      <alignment horizontal="left" vertical="center" wrapText="1"/>
      <protection locked="0"/>
    </xf>
    <xf numFmtId="0" fontId="67" fillId="0" borderId="28" xfId="211" applyFont="1" applyBorder="1" applyAlignment="1" applyProtection="1">
      <alignment horizontal="left" vertical="center" wrapText="1"/>
      <protection locked="0"/>
    </xf>
    <xf numFmtId="0" fontId="67" fillId="0" borderId="29" xfId="211" applyFont="1" applyBorder="1" applyAlignment="1" applyProtection="1">
      <alignment horizontal="left" vertical="center" wrapText="1"/>
      <protection locked="0"/>
    </xf>
    <xf numFmtId="0" fontId="67" fillId="0" borderId="14" xfId="211" applyFont="1" applyBorder="1" applyAlignment="1" applyProtection="1">
      <alignment horizontal="left" vertical="center" wrapText="1"/>
      <protection locked="0"/>
    </xf>
    <xf numFmtId="0" fontId="67" fillId="6" borderId="33" xfId="211" applyFont="1" applyFill="1" applyBorder="1" applyAlignment="1" applyProtection="1">
      <alignment horizontal="left" vertical="center" wrapText="1"/>
    </xf>
    <xf numFmtId="0" fontId="67" fillId="6" borderId="34" xfId="211" applyFont="1" applyFill="1" applyBorder="1" applyAlignment="1" applyProtection="1">
      <alignment horizontal="left" vertical="center" wrapText="1"/>
    </xf>
    <xf numFmtId="0" fontId="67" fillId="64" borderId="12" xfId="211" quotePrefix="1" applyFont="1" applyFill="1" applyBorder="1" applyAlignment="1" applyProtection="1">
      <alignment horizontal="center" vertical="center"/>
    </xf>
    <xf numFmtId="0" fontId="67" fillId="64" borderId="11" xfId="211" quotePrefix="1" applyFont="1" applyFill="1" applyBorder="1" applyAlignment="1" applyProtection="1">
      <alignment horizontal="center" vertical="center"/>
    </xf>
    <xf numFmtId="0" fontId="71" fillId="64" borderId="51" xfId="211" quotePrefix="1" applyFont="1" applyFill="1" applyBorder="1" applyAlignment="1" applyProtection="1">
      <alignment horizontal="center" vertical="center" wrapText="1"/>
    </xf>
    <xf numFmtId="0" fontId="71" fillId="64" borderId="49" xfId="211" applyFont="1" applyFill="1" applyBorder="1" applyAlignment="1" applyProtection="1">
      <alignment horizontal="center" vertical="center" wrapText="1"/>
    </xf>
    <xf numFmtId="0" fontId="71" fillId="64" borderId="46" xfId="211" applyFont="1" applyFill="1" applyBorder="1" applyAlignment="1" applyProtection="1">
      <alignment horizontal="center" vertical="center" wrapText="1"/>
    </xf>
    <xf numFmtId="0" fontId="71" fillId="64" borderId="28" xfId="211" quotePrefix="1" applyFont="1" applyFill="1" applyBorder="1" applyAlignment="1" applyProtection="1">
      <alignment horizontal="center" vertical="center" wrapText="1"/>
    </xf>
    <xf numFmtId="0" fontId="71" fillId="64" borderId="29" xfId="211" applyFont="1" applyFill="1" applyBorder="1" applyAlignment="1" applyProtection="1">
      <alignment horizontal="center" vertical="center" wrapText="1"/>
    </xf>
    <xf numFmtId="0" fontId="71" fillId="64" borderId="14" xfId="211" applyFont="1" applyFill="1" applyBorder="1" applyAlignment="1" applyProtection="1">
      <alignment horizontal="center" vertical="center" wrapText="1"/>
    </xf>
    <xf numFmtId="0" fontId="71" fillId="5" borderId="3" xfId="211" applyFont="1" applyFill="1" applyBorder="1" applyAlignment="1" applyProtection="1">
      <alignment horizontal="left" vertical="center" wrapText="1"/>
    </xf>
    <xf numFmtId="0" fontId="71" fillId="5" borderId="5" xfId="211" applyFont="1" applyFill="1" applyBorder="1" applyAlignment="1" applyProtection="1">
      <alignment horizontal="left" vertical="center" wrapText="1"/>
    </xf>
    <xf numFmtId="0" fontId="71" fillId="64" borderId="119" xfId="211" quotePrefix="1" applyFont="1" applyFill="1" applyBorder="1" applyAlignment="1" applyProtection="1">
      <alignment horizontal="center" vertical="center" wrapText="1"/>
    </xf>
    <xf numFmtId="0" fontId="71" fillId="64" borderId="118" xfId="211" applyFont="1" applyFill="1" applyBorder="1" applyAlignment="1" applyProtection="1">
      <alignment horizontal="center" vertical="center" wrapText="1"/>
    </xf>
    <xf numFmtId="0" fontId="71" fillId="64" borderId="117" xfId="211" applyFont="1" applyFill="1" applyBorder="1" applyAlignment="1" applyProtection="1">
      <alignment horizontal="center" vertical="center" wrapText="1"/>
    </xf>
    <xf numFmtId="0" fontId="67" fillId="6" borderId="103" xfId="211" applyFont="1" applyFill="1" applyBorder="1" applyAlignment="1" applyProtection="1">
      <alignment horizontal="center" wrapText="1"/>
    </xf>
    <xf numFmtId="0" fontId="67" fillId="6" borderId="34" xfId="211" applyFont="1" applyFill="1" applyBorder="1" applyAlignment="1" applyProtection="1">
      <alignment horizontal="center" wrapText="1"/>
    </xf>
    <xf numFmtId="0" fontId="67" fillId="6" borderId="41" xfId="211" applyFont="1" applyFill="1" applyBorder="1" applyAlignment="1" applyProtection="1">
      <alignment horizontal="center" wrapText="1"/>
    </xf>
    <xf numFmtId="0" fontId="67" fillId="6" borderId="104" xfId="211" applyFont="1" applyFill="1" applyBorder="1" applyAlignment="1" applyProtection="1">
      <alignment horizontal="center" wrapText="1"/>
    </xf>
    <xf numFmtId="0" fontId="67" fillId="5" borderId="3" xfId="211" applyFont="1" applyFill="1" applyBorder="1" applyAlignment="1" applyProtection="1">
      <alignment horizontal="left" vertical="center" wrapText="1"/>
    </xf>
    <xf numFmtId="0" fontId="67" fillId="5" borderId="5" xfId="211" applyFont="1" applyFill="1" applyBorder="1" applyAlignment="1" applyProtection="1">
      <alignment horizontal="left" vertical="center" wrapText="1"/>
    </xf>
    <xf numFmtId="0" fontId="71" fillId="6" borderId="51" xfId="211" applyFont="1" applyFill="1" applyBorder="1" applyAlignment="1" applyProtection="1">
      <alignment horizontal="left"/>
    </xf>
    <xf numFmtId="0" fontId="71" fillId="6" borderId="46" xfId="211" applyFont="1" applyFill="1" applyBorder="1" applyAlignment="1" applyProtection="1">
      <alignment horizontal="left"/>
    </xf>
    <xf numFmtId="0" fontId="71" fillId="6" borderId="27" xfId="211" applyFont="1" applyFill="1" applyBorder="1" applyAlignment="1" applyProtection="1">
      <alignment horizontal="left"/>
    </xf>
    <xf numFmtId="0" fontId="71" fillId="6" borderId="18" xfId="211" applyFont="1" applyFill="1" applyBorder="1" applyAlignment="1" applyProtection="1">
      <alignment horizontal="left"/>
    </xf>
    <xf numFmtId="0" fontId="71" fillId="6" borderId="28" xfId="211" applyFont="1" applyFill="1" applyBorder="1" applyAlignment="1" applyProtection="1">
      <alignment horizontal="left"/>
    </xf>
    <xf numFmtId="0" fontId="71" fillId="6" borderId="14" xfId="211" applyFont="1" applyFill="1" applyBorder="1" applyAlignment="1" applyProtection="1">
      <alignment horizontal="left"/>
    </xf>
    <xf numFmtId="0" fontId="71" fillId="6" borderId="48" xfId="211" applyFont="1" applyFill="1" applyBorder="1" applyAlignment="1" applyProtection="1">
      <alignment horizontal="center" wrapText="1"/>
    </xf>
    <xf numFmtId="0" fontId="10" fillId="6" borderId="2" xfId="211" applyFont="1" applyFill="1" applyBorder="1" applyAlignment="1" applyProtection="1">
      <alignment horizontal="left" vertical="center"/>
    </xf>
    <xf numFmtId="0" fontId="10" fillId="6" borderId="57" xfId="211" applyFont="1" applyFill="1" applyBorder="1" applyAlignment="1" applyProtection="1">
      <alignment horizontal="left" vertical="center"/>
    </xf>
    <xf numFmtId="0" fontId="67" fillId="6" borderId="7" xfId="211" applyFont="1" applyFill="1" applyBorder="1" applyAlignment="1" applyProtection="1">
      <alignment horizontal="center" wrapText="1"/>
    </xf>
    <xf numFmtId="0" fontId="67" fillId="6" borderId="16" xfId="211" applyFont="1" applyFill="1" applyBorder="1" applyAlignment="1" applyProtection="1">
      <alignment horizontal="center" wrapText="1"/>
    </xf>
    <xf numFmtId="0" fontId="67" fillId="6" borderId="47" xfId="211" applyFont="1" applyFill="1" applyBorder="1" applyAlignment="1" applyProtection="1">
      <alignment horizontal="center" wrapText="1"/>
    </xf>
    <xf numFmtId="0" fontId="10" fillId="6" borderId="52" xfId="211" applyFont="1" applyFill="1" applyBorder="1" applyAlignment="1" applyProtection="1">
      <alignment horizontal="left" vertical="center"/>
    </xf>
    <xf numFmtId="0" fontId="10" fillId="6" borderId="102" xfId="211" applyFont="1" applyFill="1" applyBorder="1" applyAlignment="1" applyProtection="1">
      <alignment horizontal="left" vertical="center"/>
    </xf>
    <xf numFmtId="0" fontId="10" fillId="6" borderId="35" xfId="211" applyFont="1" applyFill="1" applyBorder="1" applyAlignment="1" applyProtection="1">
      <alignment horizontal="left" vertical="center"/>
    </xf>
    <xf numFmtId="0" fontId="10" fillId="6" borderId="61" xfId="211" applyFont="1" applyFill="1" applyBorder="1" applyAlignment="1" applyProtection="1">
      <alignment horizontal="left" vertical="center"/>
    </xf>
    <xf numFmtId="0" fontId="10" fillId="6" borderId="1" xfId="211" applyFont="1" applyFill="1" applyBorder="1" applyAlignment="1" applyProtection="1">
      <alignment horizontal="left" vertical="center"/>
    </xf>
    <xf numFmtId="0" fontId="10" fillId="6" borderId="53" xfId="211" applyFont="1" applyFill="1" applyBorder="1" applyAlignment="1" applyProtection="1">
      <alignment horizontal="left" vertical="center"/>
    </xf>
    <xf numFmtId="0" fontId="67" fillId="0" borderId="0" xfId="211" quotePrefix="1" applyFont="1" applyAlignment="1">
      <alignment horizontal="left" wrapText="1"/>
    </xf>
    <xf numFmtId="0" fontId="67" fillId="6" borderId="2" xfId="211" applyFont="1" applyFill="1" applyBorder="1" applyAlignment="1" applyProtection="1">
      <alignment horizontal="center" wrapText="1"/>
    </xf>
    <xf numFmtId="0" fontId="67" fillId="6" borderId="23" xfId="211" applyFont="1" applyFill="1" applyBorder="1" applyAlignment="1" applyProtection="1">
      <alignment horizontal="center" wrapText="1"/>
    </xf>
    <xf numFmtId="0" fontId="67" fillId="0" borderId="0" xfId="211" quotePrefix="1" applyFont="1" applyAlignment="1" applyProtection="1">
      <alignment horizontal="left" wrapText="1"/>
    </xf>
    <xf numFmtId="1" fontId="67" fillId="64" borderId="47" xfId="211" applyNumberFormat="1" applyFont="1" applyFill="1" applyBorder="1" applyAlignment="1" applyProtection="1">
      <alignment horizontal="center" vertical="center"/>
    </xf>
    <xf numFmtId="1" fontId="67" fillId="64" borderId="177" xfId="211" applyNumberFormat="1" applyFont="1" applyFill="1" applyBorder="1" applyAlignment="1" applyProtection="1">
      <alignment horizontal="center" vertical="center"/>
    </xf>
    <xf numFmtId="0" fontId="71" fillId="64" borderId="12" xfId="211" applyFont="1" applyFill="1" applyBorder="1" applyAlignment="1" applyProtection="1">
      <alignment horizontal="center" wrapText="1"/>
    </xf>
    <xf numFmtId="0" fontId="71" fillId="64" borderId="11" xfId="211" applyFont="1" applyFill="1" applyBorder="1" applyAlignment="1" applyProtection="1">
      <alignment horizontal="center" wrapText="1"/>
    </xf>
    <xf numFmtId="0" fontId="71" fillId="5" borderId="3" xfId="211" applyFont="1" applyFill="1" applyBorder="1" applyAlignment="1" applyProtection="1">
      <alignment vertical="center" wrapText="1"/>
    </xf>
    <xf numFmtId="0" fontId="71" fillId="5" borderId="5" xfId="211" applyFont="1" applyFill="1" applyBorder="1" applyAlignment="1" applyProtection="1">
      <alignment vertical="center" wrapText="1"/>
    </xf>
    <xf numFmtId="1" fontId="67" fillId="64" borderId="60" xfId="211" applyNumberFormat="1" applyFont="1" applyFill="1" applyBorder="1" applyAlignment="1" applyProtection="1">
      <alignment horizontal="center" vertical="center"/>
    </xf>
    <xf numFmtId="170" fontId="10" fillId="5" borderId="78" xfId="0" applyNumberFormat="1" applyFont="1" applyFill="1" applyBorder="1" applyAlignment="1" applyProtection="1">
      <alignment horizontal="center" vertical="center"/>
    </xf>
    <xf numFmtId="170" fontId="10" fillId="5" borderId="79" xfId="0" applyNumberFormat="1" applyFont="1" applyFill="1" applyBorder="1" applyAlignment="1" applyProtection="1">
      <alignment horizontal="center" vertical="center"/>
    </xf>
    <xf numFmtId="3" fontId="10" fillId="6" borderId="30" xfId="0" applyNumberFormat="1" applyFont="1" applyFill="1" applyBorder="1" applyAlignment="1" applyProtection="1">
      <alignment horizontal="center" vertical="center"/>
    </xf>
    <xf numFmtId="3" fontId="10" fillId="6" borderId="24" xfId="0" applyNumberFormat="1" applyFont="1" applyFill="1" applyBorder="1" applyAlignment="1" applyProtection="1">
      <alignment horizontal="center" vertical="center"/>
    </xf>
    <xf numFmtId="0" fontId="6" fillId="0" borderId="3" xfId="0" applyFont="1" applyFill="1" applyBorder="1" applyAlignment="1" applyProtection="1">
      <alignment horizontal="center"/>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11" fillId="5" borderId="12" xfId="0" applyFont="1" applyFill="1" applyBorder="1" applyAlignment="1" applyProtection="1">
      <alignment horizontal="center"/>
    </xf>
    <xf numFmtId="0" fontId="11" fillId="5" borderId="11" xfId="0" applyFont="1" applyFill="1" applyBorder="1" applyAlignment="1" applyProtection="1">
      <alignment horizontal="center"/>
    </xf>
    <xf numFmtId="0" fontId="11" fillId="5" borderId="12" xfId="0" applyFont="1" applyFill="1" applyBorder="1" applyAlignment="1" applyProtection="1">
      <alignment horizontal="left"/>
    </xf>
    <xf numFmtId="0" fontId="11" fillId="5" borderId="11" xfId="0" applyFont="1" applyFill="1" applyBorder="1" applyAlignment="1" applyProtection="1">
      <alignment horizontal="left"/>
    </xf>
    <xf numFmtId="0" fontId="11" fillId="5" borderId="51" xfId="0" applyFont="1" applyFill="1" applyBorder="1" applyAlignment="1" applyProtection="1">
      <alignment horizontal="center"/>
    </xf>
    <xf numFmtId="0" fontId="11" fillId="5" borderId="46" xfId="0" applyFont="1" applyFill="1" applyBorder="1" applyAlignment="1" applyProtection="1">
      <alignment horizontal="center"/>
    </xf>
    <xf numFmtId="0" fontId="11" fillId="0" borderId="0" xfId="0" applyFont="1" applyFill="1" applyBorder="1" applyAlignment="1" applyProtection="1">
      <alignment horizontal="center" vertical="center"/>
    </xf>
    <xf numFmtId="3" fontId="10" fillId="5" borderId="78" xfId="0" applyNumberFormat="1" applyFont="1" applyFill="1" applyBorder="1" applyAlignment="1" applyProtection="1">
      <alignment horizontal="center" vertical="center"/>
    </xf>
    <xf numFmtId="3" fontId="10" fillId="5" borderId="79" xfId="0" applyNumberFormat="1" applyFont="1" applyFill="1" applyBorder="1" applyAlignment="1" applyProtection="1">
      <alignment horizontal="center" vertical="center"/>
    </xf>
    <xf numFmtId="3" fontId="11" fillId="5" borderId="3" xfId="0" applyNumberFormat="1" applyFont="1" applyFill="1" applyBorder="1" applyAlignment="1" applyProtection="1">
      <alignment horizontal="center" vertical="top"/>
    </xf>
    <xf numFmtId="3" fontId="11" fillId="5" borderId="5" xfId="0" applyNumberFormat="1" applyFont="1" applyFill="1" applyBorder="1" applyAlignment="1" applyProtection="1">
      <alignment horizontal="center" vertical="top"/>
    </xf>
    <xf numFmtId="0" fontId="10" fillId="0" borderId="0" xfId="0" quotePrefix="1" applyFont="1" applyFill="1" applyAlignment="1" applyProtection="1">
      <alignment horizontal="left" wrapText="1"/>
    </xf>
    <xf numFmtId="0" fontId="0" fillId="0" borderId="0" xfId="0" applyFill="1" applyAlignment="1">
      <alignment horizontal="left" wrapText="1"/>
    </xf>
    <xf numFmtId="0" fontId="10" fillId="4" borderId="30" xfId="0" quotePrefix="1" applyFont="1" applyFill="1" applyBorder="1" applyAlignment="1" applyProtection="1">
      <alignment horizontal="left" vertical="top" wrapText="1" indent="1"/>
    </xf>
    <xf numFmtId="0" fontId="10" fillId="4" borderId="45" xfId="0" applyFont="1" applyFill="1" applyBorder="1" applyAlignment="1" applyProtection="1">
      <alignment horizontal="left" vertical="top" wrapText="1" indent="1"/>
    </xf>
    <xf numFmtId="2" fontId="10" fillId="6" borderId="53" xfId="1" applyNumberFormat="1" applyFont="1" applyFill="1" applyBorder="1" applyAlignment="1" applyProtection="1">
      <alignment horizontal="center" vertical="center" wrapText="1"/>
    </xf>
    <xf numFmtId="2" fontId="10" fillId="6" borderId="45" xfId="1" applyNumberFormat="1" applyFont="1" applyFill="1" applyBorder="1" applyAlignment="1" applyProtection="1">
      <alignment horizontal="center" vertical="center" wrapText="1"/>
    </xf>
    <xf numFmtId="3" fontId="10" fillId="64" borderId="29" xfId="1" quotePrefix="1" applyNumberFormat="1" applyFont="1" applyFill="1" applyBorder="1" applyAlignment="1" applyProtection="1">
      <alignment horizontal="center" vertical="center" wrapText="1"/>
    </xf>
    <xf numFmtId="3" fontId="10" fillId="64" borderId="44" xfId="1" applyNumberFormat="1" applyFont="1" applyFill="1" applyBorder="1" applyAlignment="1" applyProtection="1">
      <alignment horizontal="center" vertical="center" wrapText="1"/>
    </xf>
    <xf numFmtId="0" fontId="11" fillId="4" borderId="6" xfId="0" applyFont="1" applyFill="1" applyBorder="1" applyAlignment="1" applyProtection="1">
      <alignment horizontal="left" vertical="top" wrapText="1"/>
    </xf>
    <xf numFmtId="0" fontId="11" fillId="4" borderId="48" xfId="0" applyFont="1" applyFill="1" applyBorder="1" applyAlignment="1" applyProtection="1">
      <alignment horizontal="left" vertical="top" wrapText="1"/>
    </xf>
    <xf numFmtId="0" fontId="11" fillId="4" borderId="15" xfId="0" applyFont="1" applyFill="1" applyBorder="1" applyAlignment="1" applyProtection="1">
      <alignment horizontal="left" vertical="top" wrapText="1"/>
    </xf>
    <xf numFmtId="0" fontId="10" fillId="4" borderId="55" xfId="0" applyFont="1" applyFill="1" applyBorder="1" applyAlignment="1" applyProtection="1">
      <alignment horizontal="left" vertical="top" wrapText="1" indent="1"/>
    </xf>
    <xf numFmtId="0" fontId="10" fillId="4" borderId="43" xfId="0" applyFont="1" applyFill="1" applyBorder="1" applyAlignment="1" applyProtection="1">
      <alignment horizontal="left" vertical="top" wrapText="1" indent="1"/>
    </xf>
    <xf numFmtId="9" fontId="10" fillId="6" borderId="37" xfId="1" applyNumberFormat="1" applyFont="1" applyFill="1" applyBorder="1" applyAlignment="1" applyProtection="1">
      <alignment horizontal="center" vertical="top" wrapText="1"/>
    </xf>
    <xf numFmtId="3" fontId="10" fillId="64" borderId="37" xfId="1" quotePrefix="1" applyNumberFormat="1" applyFont="1" applyFill="1" applyBorder="1" applyAlignment="1" applyProtection="1">
      <alignment horizontal="center" vertical="top" wrapText="1"/>
    </xf>
    <xf numFmtId="3" fontId="10" fillId="64" borderId="37" xfId="1" applyNumberFormat="1" applyFont="1" applyFill="1" applyBorder="1" applyAlignment="1" applyProtection="1">
      <alignment horizontal="center" vertical="top" wrapText="1"/>
    </xf>
    <xf numFmtId="0" fontId="10" fillId="4" borderId="7" xfId="0" applyFont="1" applyFill="1" applyBorder="1" applyAlignment="1" applyProtection="1">
      <alignment horizontal="left" vertical="center" wrapText="1" indent="1"/>
    </xf>
    <xf numFmtId="0" fontId="10" fillId="4" borderId="22" xfId="0" applyFont="1" applyFill="1" applyBorder="1" applyAlignment="1" applyProtection="1">
      <alignment horizontal="left" vertical="center" wrapText="1" indent="1"/>
    </xf>
    <xf numFmtId="0" fontId="10" fillId="4" borderId="28" xfId="0" applyFont="1" applyFill="1" applyBorder="1" applyAlignment="1" applyProtection="1">
      <alignment horizontal="left" vertical="top" wrapText="1" indent="1"/>
      <protection locked="0"/>
    </xf>
    <xf numFmtId="0" fontId="10" fillId="4" borderId="44" xfId="0" applyFont="1" applyFill="1" applyBorder="1" applyAlignment="1" applyProtection="1">
      <alignment horizontal="left" vertical="top" wrapText="1" indent="1"/>
      <protection locked="0"/>
    </xf>
    <xf numFmtId="3" fontId="10" fillId="4" borderId="29" xfId="0" applyNumberFormat="1" applyFont="1" applyFill="1" applyBorder="1" applyAlignment="1" applyProtection="1">
      <alignment horizontal="center" vertical="top" wrapText="1"/>
      <protection locked="0"/>
    </xf>
    <xf numFmtId="3" fontId="10" fillId="4" borderId="44" xfId="0" applyNumberFormat="1" applyFont="1" applyFill="1" applyBorder="1" applyAlignment="1" applyProtection="1">
      <alignment horizontal="center" vertical="top" wrapText="1"/>
      <protection locked="0"/>
    </xf>
    <xf numFmtId="0" fontId="10" fillId="4" borderId="7" xfId="0" applyFont="1" applyFill="1" applyBorder="1" applyAlignment="1" applyProtection="1">
      <alignment horizontal="left" vertical="top" wrapText="1" indent="1"/>
      <protection locked="0"/>
    </xf>
    <xf numFmtId="0" fontId="10" fillId="4" borderId="22" xfId="0" applyFont="1" applyFill="1" applyBorder="1" applyAlignment="1" applyProtection="1">
      <alignment horizontal="left" vertical="top" wrapText="1" indent="1"/>
      <protection locked="0"/>
    </xf>
    <xf numFmtId="3" fontId="10" fillId="4" borderId="47" xfId="0" applyNumberFormat="1" applyFont="1" applyFill="1" applyBorder="1" applyAlignment="1" applyProtection="1">
      <alignment horizontal="center" vertical="top" wrapText="1"/>
      <protection locked="0"/>
    </xf>
    <xf numFmtId="3" fontId="10" fillId="4" borderId="22" xfId="0" applyNumberFormat="1" applyFont="1" applyFill="1" applyBorder="1" applyAlignment="1" applyProtection="1">
      <alignment horizontal="center" vertical="top" wrapText="1"/>
      <protection locked="0"/>
    </xf>
    <xf numFmtId="3" fontId="10" fillId="64" borderId="37" xfId="1" quotePrefix="1" applyNumberFormat="1" applyFont="1" applyFill="1" applyBorder="1" applyAlignment="1" applyProtection="1">
      <alignment horizontal="center" vertical="top" wrapText="1"/>
      <protection locked="0"/>
    </xf>
    <xf numFmtId="3" fontId="10" fillId="64" borderId="37" xfId="1" applyNumberFormat="1" applyFont="1" applyFill="1" applyBorder="1" applyAlignment="1" applyProtection="1">
      <alignment horizontal="center" vertical="top" wrapText="1"/>
      <protection locked="0"/>
    </xf>
    <xf numFmtId="164" fontId="10" fillId="3" borderId="47" xfId="1" applyNumberFormat="1" applyFont="1" applyFill="1" applyBorder="1" applyAlignment="1" applyProtection="1">
      <alignment horizontal="center" vertical="top" wrapText="1"/>
      <protection locked="0"/>
    </xf>
    <xf numFmtId="164" fontId="10" fillId="3" borderId="22" xfId="1" applyNumberFormat="1" applyFont="1" applyFill="1" applyBorder="1" applyAlignment="1" applyProtection="1">
      <alignment horizontal="center" vertical="top" wrapText="1"/>
      <protection locked="0"/>
    </xf>
    <xf numFmtId="0" fontId="11" fillId="5" borderId="51" xfId="0" applyFont="1" applyFill="1" applyBorder="1" applyAlignment="1" applyProtection="1">
      <alignment horizontal="center" vertical="top" wrapText="1"/>
    </xf>
    <xf numFmtId="0" fontId="11" fillId="5" borderId="46" xfId="0" applyFont="1" applyFill="1" applyBorder="1" applyAlignment="1" applyProtection="1">
      <alignment horizontal="center" vertical="top" wrapText="1"/>
    </xf>
    <xf numFmtId="0" fontId="11" fillId="5" borderId="28" xfId="0" applyFont="1" applyFill="1" applyBorder="1" applyAlignment="1" applyProtection="1">
      <alignment horizontal="center" vertical="top" wrapText="1"/>
    </xf>
    <xf numFmtId="0" fontId="11" fillId="5" borderId="14" xfId="0" applyFont="1" applyFill="1" applyBorder="1" applyAlignment="1" applyProtection="1">
      <alignment horizontal="center" vertical="top" wrapText="1"/>
    </xf>
    <xf numFmtId="0" fontId="10" fillId="4" borderId="7" xfId="0" applyFont="1" applyFill="1" applyBorder="1" applyAlignment="1" applyProtection="1">
      <alignment horizontal="left" vertical="top" wrapText="1" indent="1"/>
    </xf>
    <xf numFmtId="0" fontId="10" fillId="4" borderId="22" xfId="0" applyFont="1" applyFill="1" applyBorder="1" applyAlignment="1" applyProtection="1">
      <alignment horizontal="left" vertical="top" wrapText="1" indent="1"/>
    </xf>
    <xf numFmtId="0" fontId="10" fillId="4" borderId="28" xfId="0" applyFont="1" applyFill="1" applyBorder="1" applyAlignment="1" applyProtection="1">
      <alignment horizontal="left" vertical="top" wrapText="1" indent="1"/>
    </xf>
    <xf numFmtId="0" fontId="10" fillId="4" borderId="44" xfId="0" applyFont="1" applyFill="1" applyBorder="1" applyAlignment="1" applyProtection="1">
      <alignment horizontal="left" vertical="top" wrapText="1" indent="1"/>
    </xf>
    <xf numFmtId="0" fontId="11" fillId="0" borderId="48" xfId="0" applyFont="1" applyFill="1" applyBorder="1" applyAlignment="1" applyProtection="1">
      <alignment horizontal="center"/>
      <protection locked="0"/>
    </xf>
    <xf numFmtId="0" fontId="11" fillId="0" borderId="15" xfId="0" applyFont="1" applyFill="1" applyBorder="1" applyAlignment="1" applyProtection="1">
      <alignment horizontal="center"/>
      <protection locked="0"/>
    </xf>
    <xf numFmtId="164" fontId="10" fillId="0" borderId="47" xfId="1" applyNumberFormat="1" applyFont="1" applyFill="1" applyBorder="1" applyAlignment="1" applyProtection="1">
      <alignment horizontal="center" vertical="top" wrapText="1"/>
      <protection locked="0"/>
    </xf>
    <xf numFmtId="164" fontId="10" fillId="0" borderId="22" xfId="1" applyNumberFormat="1" applyFont="1" applyFill="1" applyBorder="1" applyAlignment="1" applyProtection="1">
      <alignment horizontal="center" vertical="top" wrapText="1"/>
      <protection locked="0"/>
    </xf>
    <xf numFmtId="3" fontId="10" fillId="4" borderId="29" xfId="0" applyNumberFormat="1" applyFont="1" applyFill="1" applyBorder="1" applyAlignment="1" applyProtection="1">
      <alignment horizontal="center" vertical="top" wrapText="1"/>
    </xf>
    <xf numFmtId="3" fontId="10" fillId="4" borderId="44" xfId="0" applyNumberFormat="1" applyFont="1" applyFill="1" applyBorder="1" applyAlignment="1" applyProtection="1">
      <alignment horizontal="center" vertical="top" wrapText="1"/>
    </xf>
    <xf numFmtId="0" fontId="11" fillId="0" borderId="3" xfId="0" applyFont="1" applyFill="1" applyBorder="1" applyAlignment="1" applyProtection="1">
      <alignment horizontal="center" vertical="top" wrapText="1"/>
    </xf>
    <xf numFmtId="0" fontId="11" fillId="0" borderId="4" xfId="0" applyFont="1" applyFill="1" applyBorder="1" applyAlignment="1" applyProtection="1">
      <alignment horizontal="center" vertical="top" wrapText="1"/>
    </xf>
    <xf numFmtId="0" fontId="11" fillId="0" borderId="5" xfId="0" applyFont="1" applyFill="1" applyBorder="1" applyAlignment="1" applyProtection="1">
      <alignment horizontal="center" vertical="top" wrapText="1"/>
    </xf>
    <xf numFmtId="164" fontId="10" fillId="3" borderId="60" xfId="1" applyNumberFormat="1" applyFont="1" applyFill="1" applyBorder="1" applyAlignment="1" applyProtection="1">
      <alignment horizontal="center" vertical="top" wrapText="1"/>
      <protection locked="0"/>
    </xf>
    <xf numFmtId="164" fontId="10" fillId="3" borderId="43" xfId="1" applyNumberFormat="1" applyFont="1" applyFill="1" applyBorder="1" applyAlignment="1" applyProtection="1">
      <alignment horizontal="center" vertical="top" wrapText="1"/>
      <protection locked="0"/>
    </xf>
    <xf numFmtId="167" fontId="10" fillId="3" borderId="47" xfId="1" applyNumberFormat="1" applyFont="1" applyFill="1" applyBorder="1" applyAlignment="1" applyProtection="1">
      <alignment horizontal="center" vertical="top" wrapText="1"/>
      <protection locked="0"/>
    </xf>
    <xf numFmtId="167" fontId="10" fillId="3" borderId="22" xfId="1" applyNumberFormat="1" applyFont="1" applyFill="1" applyBorder="1" applyAlignment="1" applyProtection="1">
      <alignment horizontal="center" vertical="top" wrapText="1"/>
      <protection locked="0"/>
    </xf>
    <xf numFmtId="167" fontId="10" fillId="4" borderId="60" xfId="1" quotePrefix="1" applyNumberFormat="1" applyFont="1" applyFill="1" applyBorder="1" applyAlignment="1" applyProtection="1">
      <alignment horizontal="center" vertical="top" wrapText="1"/>
    </xf>
    <xf numFmtId="167" fontId="10" fillId="4" borderId="43" xfId="1" applyNumberFormat="1" applyFont="1" applyFill="1" applyBorder="1" applyAlignment="1" applyProtection="1">
      <alignment horizontal="center" vertical="top" wrapText="1"/>
    </xf>
    <xf numFmtId="3" fontId="10" fillId="4" borderId="47" xfId="0" applyNumberFormat="1" applyFont="1" applyFill="1" applyBorder="1" applyAlignment="1" applyProtection="1">
      <alignment horizontal="center" vertical="top" wrapText="1"/>
    </xf>
    <xf numFmtId="3" fontId="10" fillId="4" borderId="22" xfId="0" applyNumberFormat="1" applyFont="1" applyFill="1" applyBorder="1" applyAlignment="1" applyProtection="1">
      <alignment horizontal="center" vertical="top" wrapText="1"/>
    </xf>
    <xf numFmtId="165" fontId="10" fillId="4" borderId="39" xfId="0" applyNumberFormat="1" applyFont="1" applyFill="1" applyBorder="1" applyAlignment="1" applyProtection="1">
      <alignment horizontal="center" vertical="top" wrapText="1"/>
    </xf>
    <xf numFmtId="165" fontId="10" fillId="0" borderId="39" xfId="0" applyNumberFormat="1" applyFont="1" applyFill="1" applyBorder="1" applyAlignment="1" applyProtection="1">
      <alignment horizontal="center" vertical="top" wrapText="1"/>
      <protection locked="0"/>
    </xf>
    <xf numFmtId="3" fontId="10" fillId="3" borderId="37" xfId="1" applyNumberFormat="1" applyFont="1" applyFill="1" applyBorder="1" applyAlignment="1" applyProtection="1">
      <alignment horizontal="center" vertical="top" wrapText="1"/>
      <protection locked="0"/>
    </xf>
    <xf numFmtId="0" fontId="10" fillId="4" borderId="2" xfId="0" applyFont="1" applyFill="1" applyBorder="1" applyAlignment="1" applyProtection="1">
      <alignment horizontal="left" vertical="top" wrapText="1" indent="1"/>
    </xf>
    <xf numFmtId="0" fontId="10" fillId="4" borderId="39" xfId="0" applyFont="1" applyFill="1" applyBorder="1" applyAlignment="1" applyProtection="1">
      <alignment horizontal="left" vertical="top" wrapText="1" indent="1"/>
    </xf>
    <xf numFmtId="3" fontId="10" fillId="3" borderId="39" xfId="1" applyNumberFormat="1" applyFont="1" applyFill="1" applyBorder="1" applyAlignment="1" applyProtection="1">
      <alignment horizontal="center" vertical="top" wrapText="1"/>
      <protection locked="0"/>
    </xf>
    <xf numFmtId="3" fontId="10" fillId="4" borderId="37" xfId="1" applyNumberFormat="1" applyFont="1" applyFill="1" applyBorder="1" applyAlignment="1" applyProtection="1">
      <alignment horizontal="center" vertical="top" wrapText="1"/>
      <protection locked="0"/>
    </xf>
    <xf numFmtId="167" fontId="10" fillId="4" borderId="57" xfId="1" quotePrefix="1" applyNumberFormat="1" applyFont="1" applyFill="1" applyBorder="1" applyAlignment="1" applyProtection="1">
      <alignment horizontal="center" vertical="top" wrapText="1"/>
    </xf>
    <xf numFmtId="167" fontId="10" fillId="4" borderId="22" xfId="1" quotePrefix="1" applyNumberFormat="1" applyFont="1" applyFill="1" applyBorder="1" applyAlignment="1" applyProtection="1">
      <alignment horizontal="center" vertical="top" wrapText="1"/>
    </xf>
    <xf numFmtId="167" fontId="10" fillId="64" borderId="47" xfId="0" quotePrefix="1" applyNumberFormat="1" applyFont="1" applyFill="1" applyBorder="1" applyAlignment="1" applyProtection="1">
      <alignment horizontal="center" vertical="top" wrapText="1"/>
    </xf>
    <xf numFmtId="167" fontId="10" fillId="64" borderId="22" xfId="0" applyNumberFormat="1" applyFont="1" applyFill="1" applyBorder="1" applyAlignment="1" applyProtection="1">
      <alignment horizontal="center" vertical="top" wrapText="1"/>
    </xf>
    <xf numFmtId="167" fontId="10" fillId="4" borderId="47" xfId="0" applyNumberFormat="1" applyFont="1" applyFill="1" applyBorder="1" applyAlignment="1" applyProtection="1">
      <alignment horizontal="center" vertical="top" wrapText="1"/>
    </xf>
    <xf numFmtId="167" fontId="10" fillId="4" borderId="22" xfId="0" applyNumberFormat="1" applyFont="1" applyFill="1" applyBorder="1" applyAlignment="1" applyProtection="1">
      <alignment horizontal="center" vertical="top" wrapText="1"/>
    </xf>
    <xf numFmtId="0" fontId="10" fillId="4" borderId="7" xfId="0" quotePrefix="1" applyFont="1" applyFill="1" applyBorder="1" applyAlignment="1" applyProtection="1">
      <alignment horizontal="left" vertical="top" wrapText="1" indent="1"/>
      <protection locked="0"/>
    </xf>
    <xf numFmtId="167" fontId="10" fillId="4" borderId="60" xfId="1" quotePrefix="1" applyNumberFormat="1" applyFont="1" applyFill="1" applyBorder="1" applyAlignment="1" applyProtection="1">
      <alignment horizontal="center" vertical="top" wrapText="1"/>
      <protection locked="0"/>
    </xf>
    <xf numFmtId="167" fontId="10" fillId="4" borderId="43" xfId="1" applyNumberFormat="1" applyFont="1" applyFill="1" applyBorder="1" applyAlignment="1" applyProtection="1">
      <alignment horizontal="center" vertical="top" wrapText="1"/>
      <protection locked="0"/>
    </xf>
    <xf numFmtId="0" fontId="11" fillId="0" borderId="3" xfId="0" applyFont="1" applyFill="1" applyBorder="1" applyAlignment="1" applyProtection="1">
      <alignment horizontal="center" vertical="top" wrapText="1"/>
      <protection locked="0"/>
    </xf>
    <xf numFmtId="0" fontId="11" fillId="0" borderId="4" xfId="0" applyFont="1" applyFill="1" applyBorder="1" applyAlignment="1" applyProtection="1">
      <alignment horizontal="center" vertical="top" wrapText="1"/>
      <protection locked="0"/>
    </xf>
    <xf numFmtId="0" fontId="11" fillId="0" borderId="5" xfId="0" applyFont="1" applyFill="1" applyBorder="1" applyAlignment="1" applyProtection="1">
      <alignment horizontal="center" vertical="top" wrapText="1"/>
      <protection locked="0"/>
    </xf>
    <xf numFmtId="0" fontId="10" fillId="4" borderId="7" xfId="0" quotePrefix="1" applyFont="1" applyFill="1" applyBorder="1" applyAlignment="1" applyProtection="1">
      <alignment horizontal="left" vertical="top" wrapText="1" indent="1"/>
    </xf>
    <xf numFmtId="0" fontId="11" fillId="0" borderId="49"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protection locked="0"/>
    </xf>
    <xf numFmtId="3" fontId="10" fillId="0" borderId="37" xfId="1" applyNumberFormat="1" applyFont="1" applyFill="1" applyBorder="1" applyAlignment="1" applyProtection="1">
      <alignment horizontal="center" vertical="top" wrapText="1"/>
      <protection locked="0"/>
    </xf>
    <xf numFmtId="3" fontId="10" fillId="4" borderId="57" xfId="1" quotePrefix="1" applyNumberFormat="1" applyFont="1" applyFill="1" applyBorder="1" applyAlignment="1" applyProtection="1">
      <alignment horizontal="center" vertical="top" wrapText="1"/>
    </xf>
    <xf numFmtId="3" fontId="10" fillId="4" borderId="47" xfId="1" applyNumberFormat="1" applyFont="1" applyFill="1" applyBorder="1" applyAlignment="1" applyProtection="1">
      <alignment horizontal="center" vertical="top" wrapText="1"/>
    </xf>
    <xf numFmtId="0" fontId="10" fillId="4" borderId="1" xfId="0" applyFont="1" applyFill="1" applyBorder="1" applyAlignment="1" applyProtection="1">
      <alignment horizontal="left" vertical="top" wrapText="1" indent="1"/>
    </xf>
    <xf numFmtId="0" fontId="10" fillId="4" borderId="38" xfId="0" applyFont="1" applyFill="1" applyBorder="1" applyAlignment="1" applyProtection="1">
      <alignment horizontal="left" vertical="top" wrapText="1" indent="1"/>
    </xf>
    <xf numFmtId="167" fontId="10" fillId="4" borderId="38" xfId="0" applyNumberFormat="1" applyFont="1" applyFill="1" applyBorder="1" applyAlignment="1" applyProtection="1">
      <alignment horizontal="center" vertical="top" wrapText="1"/>
    </xf>
    <xf numFmtId="9" fontId="10" fillId="4" borderId="39" xfId="7" applyFont="1" applyFill="1" applyBorder="1" applyAlignment="1" applyProtection="1">
      <alignment horizontal="center" vertical="top" wrapText="1"/>
    </xf>
    <xf numFmtId="0" fontId="11" fillId="0" borderId="28" xfId="0" applyFont="1" applyFill="1" applyBorder="1" applyAlignment="1" applyProtection="1">
      <alignment horizontal="center" vertical="top" wrapText="1"/>
    </xf>
    <xf numFmtId="0" fontId="11" fillId="0" borderId="29" xfId="0" applyFont="1" applyFill="1" applyBorder="1" applyAlignment="1" applyProtection="1">
      <alignment horizontal="center" vertical="top" wrapText="1"/>
    </xf>
    <xf numFmtId="0" fontId="11" fillId="0" borderId="14" xfId="0" applyFont="1" applyFill="1" applyBorder="1" applyAlignment="1" applyProtection="1">
      <alignment horizontal="center" vertical="top" wrapText="1"/>
    </xf>
    <xf numFmtId="167" fontId="10" fillId="4" borderId="39" xfId="0" applyNumberFormat="1" applyFont="1" applyFill="1" applyBorder="1" applyAlignment="1" applyProtection="1">
      <alignment horizontal="center" vertical="top" wrapText="1"/>
    </xf>
    <xf numFmtId="0" fontId="10" fillId="4" borderId="35" xfId="0" applyFont="1" applyFill="1" applyBorder="1" applyAlignment="1" applyProtection="1">
      <alignment horizontal="left" vertical="top" wrapText="1" indent="1"/>
    </xf>
    <xf numFmtId="0" fontId="10" fillId="4" borderId="37" xfId="0" applyFont="1" applyFill="1" applyBorder="1" applyAlignment="1" applyProtection="1">
      <alignment horizontal="left" vertical="top" wrapText="1" indent="1"/>
    </xf>
    <xf numFmtId="167" fontId="10" fillId="4" borderId="53" xfId="0" applyNumberFormat="1" applyFont="1" applyFill="1" applyBorder="1" applyAlignment="1" applyProtection="1">
      <alignment horizontal="center"/>
    </xf>
    <xf numFmtId="167" fontId="10" fillId="4" borderId="45" xfId="0" applyNumberFormat="1" applyFont="1" applyFill="1" applyBorder="1" applyAlignment="1" applyProtection="1">
      <alignment horizontal="center"/>
    </xf>
    <xf numFmtId="0" fontId="10" fillId="5" borderId="35" xfId="0" applyFont="1" applyFill="1" applyBorder="1" applyAlignment="1" applyProtection="1">
      <alignment horizontal="left" vertical="top" wrapText="1" indent="1"/>
    </xf>
    <xf numFmtId="0" fontId="10" fillId="5" borderId="37" xfId="0" applyFont="1" applyFill="1" applyBorder="1" applyAlignment="1" applyProtection="1">
      <alignment horizontal="left" vertical="top" wrapText="1" indent="1"/>
    </xf>
    <xf numFmtId="0" fontId="10" fillId="5" borderId="1" xfId="0" applyFont="1" applyFill="1" applyBorder="1" applyAlignment="1" applyProtection="1">
      <alignment horizontal="left" vertical="top" wrapText="1" indent="1"/>
    </xf>
    <xf numFmtId="0" fontId="10" fillId="5" borderId="38" xfId="0" applyFont="1" applyFill="1" applyBorder="1" applyAlignment="1" applyProtection="1">
      <alignment horizontal="left" vertical="top" wrapText="1" indent="1"/>
    </xf>
    <xf numFmtId="3" fontId="10" fillId="3" borderId="38" xfId="1" applyNumberFormat="1" applyFont="1" applyFill="1" applyBorder="1" applyAlignment="1" applyProtection="1">
      <alignment horizontal="center" vertical="top" wrapText="1"/>
      <protection locked="0"/>
    </xf>
    <xf numFmtId="0" fontId="11" fillId="4" borderId="6" xfId="0" applyFont="1" applyFill="1" applyBorder="1" applyAlignment="1" applyProtection="1">
      <alignment vertical="top" wrapText="1"/>
    </xf>
    <xf numFmtId="0" fontId="11" fillId="4" borderId="48" xfId="0" applyFont="1" applyFill="1" applyBorder="1" applyAlignment="1" applyProtection="1">
      <alignment vertical="top" wrapText="1"/>
    </xf>
    <xf numFmtId="0" fontId="10" fillId="4" borderId="48" xfId="0" applyFont="1" applyFill="1" applyBorder="1" applyAlignment="1" applyProtection="1">
      <alignment vertical="top" wrapText="1"/>
    </xf>
    <xf numFmtId="165" fontId="10" fillId="3" borderId="39" xfId="0" applyNumberFormat="1" applyFont="1" applyFill="1" applyBorder="1" applyAlignment="1" applyProtection="1">
      <alignment horizontal="center" vertical="top" wrapText="1"/>
      <protection locked="0"/>
    </xf>
    <xf numFmtId="0" fontId="11" fillId="5" borderId="6" xfId="0" applyFont="1" applyFill="1" applyBorder="1" applyAlignment="1" applyProtection="1">
      <alignment vertical="top" wrapText="1"/>
    </xf>
    <xf numFmtId="0" fontId="11" fillId="5" borderId="48" xfId="0" applyFont="1" applyFill="1" applyBorder="1" applyAlignment="1" applyProtection="1">
      <alignment vertical="top" wrapText="1"/>
    </xf>
    <xf numFmtId="0" fontId="10" fillId="5" borderId="48" xfId="0" applyFont="1" applyFill="1" applyBorder="1" applyAlignment="1" applyProtection="1">
      <alignment vertical="top" wrapText="1"/>
    </xf>
    <xf numFmtId="3" fontId="10" fillId="3" borderId="57" xfId="1" applyNumberFormat="1" applyFont="1" applyFill="1" applyBorder="1" applyAlignment="1" applyProtection="1">
      <alignment horizontal="center" vertical="top" wrapText="1"/>
      <protection locked="0"/>
    </xf>
    <xf numFmtId="3" fontId="10" fillId="3" borderId="22" xfId="1" applyNumberFormat="1" applyFont="1" applyFill="1" applyBorder="1" applyAlignment="1" applyProtection="1">
      <alignment horizontal="center" vertical="top" wrapText="1"/>
      <protection locked="0"/>
    </xf>
    <xf numFmtId="3" fontId="10" fillId="3" borderId="60" xfId="1" applyNumberFormat="1" applyFont="1" applyFill="1" applyBorder="1" applyAlignment="1" applyProtection="1">
      <alignment horizontal="center" vertical="top" wrapText="1"/>
      <protection locked="0"/>
    </xf>
    <xf numFmtId="3" fontId="10" fillId="3" borderId="43" xfId="1" applyNumberFormat="1" applyFont="1" applyFill="1" applyBorder="1" applyAlignment="1" applyProtection="1">
      <alignment horizontal="center" vertical="top" wrapText="1"/>
      <protection locked="0"/>
    </xf>
    <xf numFmtId="169" fontId="10" fillId="4" borderId="57" xfId="0" applyNumberFormat="1" applyFont="1" applyFill="1" applyBorder="1" applyAlignment="1" applyProtection="1">
      <alignment horizontal="center"/>
    </xf>
    <xf numFmtId="169" fontId="10" fillId="4" borderId="22" xfId="0" applyNumberFormat="1" applyFont="1" applyFill="1" applyBorder="1" applyAlignment="1" applyProtection="1">
      <alignment horizontal="center"/>
    </xf>
    <xf numFmtId="0" fontId="11" fillId="4" borderId="6" xfId="0" applyFont="1" applyFill="1" applyBorder="1" applyAlignment="1" applyProtection="1"/>
    <xf numFmtId="0" fontId="11" fillId="4" borderId="48" xfId="0" applyFont="1" applyFill="1" applyBorder="1" applyAlignment="1" applyProtection="1"/>
    <xf numFmtId="0" fontId="10" fillId="0" borderId="0" xfId="0" applyFont="1" applyAlignment="1" applyProtection="1">
      <alignment horizontal="left" wrapText="1"/>
    </xf>
    <xf numFmtId="0" fontId="10" fillId="0" borderId="0" xfId="0" applyFont="1" applyFill="1" applyAlignment="1" applyProtection="1">
      <alignment horizontal="left" wrapText="1"/>
    </xf>
    <xf numFmtId="0" fontId="10" fillId="0" borderId="0" xfId="0" applyFont="1" applyFill="1" applyAlignment="1" applyProtection="1">
      <alignment horizontal="left" vertical="top" wrapText="1"/>
    </xf>
    <xf numFmtId="0" fontId="10" fillId="0" borderId="0" xfId="0" applyFont="1" applyAlignment="1" applyProtection="1">
      <alignment horizontal="left" vertical="top" wrapText="1"/>
    </xf>
    <xf numFmtId="165" fontId="10" fillId="3" borderId="47" xfId="1" applyNumberFormat="1" applyFont="1" applyFill="1" applyBorder="1" applyAlignment="1" applyProtection="1">
      <alignment horizontal="center" vertical="top" wrapText="1"/>
      <protection locked="0"/>
    </xf>
    <xf numFmtId="165" fontId="10" fillId="3" borderId="22" xfId="1" applyNumberFormat="1" applyFont="1" applyFill="1" applyBorder="1" applyAlignment="1" applyProtection="1">
      <alignment horizontal="center" vertical="top" wrapText="1"/>
      <protection locked="0"/>
    </xf>
    <xf numFmtId="0" fontId="10" fillId="4" borderId="55" xfId="0" applyFont="1" applyFill="1" applyBorder="1" applyAlignment="1" applyProtection="1">
      <alignment horizontal="left" vertical="top" wrapText="1" indent="1"/>
      <protection locked="0"/>
    </xf>
    <xf numFmtId="0" fontId="10" fillId="4" borderId="43" xfId="0" applyFont="1" applyFill="1" applyBorder="1" applyAlignment="1" applyProtection="1">
      <alignment horizontal="left" vertical="top" wrapText="1" indent="1"/>
      <protection locked="0"/>
    </xf>
    <xf numFmtId="0" fontId="10" fillId="4" borderId="30" xfId="0" applyFont="1" applyFill="1" applyBorder="1" applyAlignment="1" applyProtection="1">
      <alignment horizontal="left" vertical="center" wrapText="1" indent="1"/>
    </xf>
    <xf numFmtId="0" fontId="10" fillId="4" borderId="45" xfId="0" applyFont="1" applyFill="1" applyBorder="1" applyAlignment="1" applyProtection="1">
      <alignment horizontal="left" vertical="center" wrapText="1" indent="1"/>
    </xf>
    <xf numFmtId="3" fontId="10" fillId="0" borderId="120" xfId="1" applyNumberFormat="1" applyFont="1" applyFill="1" applyBorder="1" applyAlignment="1" applyProtection="1">
      <alignment horizontal="center" vertical="top" wrapText="1"/>
      <protection locked="0"/>
    </xf>
    <xf numFmtId="3" fontId="10" fillId="5" borderId="59" xfId="1" quotePrefix="1" applyNumberFormat="1" applyFont="1" applyFill="1" applyBorder="1" applyAlignment="1" applyProtection="1">
      <alignment horizontal="center" vertical="top" wrapText="1"/>
    </xf>
    <xf numFmtId="3" fontId="10" fillId="5" borderId="29" xfId="1" applyNumberFormat="1" applyFont="1" applyFill="1" applyBorder="1" applyAlignment="1" applyProtection="1">
      <alignment horizontal="center" vertical="top" wrapText="1"/>
    </xf>
    <xf numFmtId="3" fontId="10" fillId="3" borderId="31" xfId="1" applyNumberFormat="1" applyFont="1" applyFill="1" applyBorder="1" applyAlignment="1" applyProtection="1">
      <alignment horizontal="center" vertical="top" wrapText="1"/>
      <protection locked="0"/>
    </xf>
    <xf numFmtId="3" fontId="10" fillId="3" borderId="45" xfId="1" applyNumberFormat="1" applyFont="1" applyFill="1" applyBorder="1" applyAlignment="1" applyProtection="1">
      <alignment horizontal="center" vertical="top" wrapText="1"/>
      <protection locked="0"/>
    </xf>
    <xf numFmtId="3" fontId="10" fillId="64" borderId="29" xfId="1" quotePrefix="1" applyNumberFormat="1" applyFont="1" applyFill="1" applyBorder="1" applyAlignment="1" applyProtection="1">
      <alignment horizontal="center" vertical="top" wrapText="1"/>
    </xf>
    <xf numFmtId="3" fontId="10" fillId="64" borderId="44" xfId="1" applyNumberFormat="1" applyFont="1" applyFill="1" applyBorder="1" applyAlignment="1" applyProtection="1">
      <alignment horizontal="center" vertical="top" wrapText="1"/>
    </xf>
    <xf numFmtId="167" fontId="10" fillId="4" borderId="57" xfId="1" applyNumberFormat="1" applyFont="1" applyFill="1" applyBorder="1" applyAlignment="1" applyProtection="1">
      <alignment horizontal="center" vertical="top" wrapText="1"/>
      <protection locked="0"/>
    </xf>
    <xf numFmtId="167" fontId="10" fillId="4" borderId="22" xfId="1" applyNumberFormat="1" applyFont="1" applyFill="1" applyBorder="1" applyAlignment="1" applyProtection="1">
      <alignment horizontal="center" vertical="top" wrapText="1"/>
      <protection locked="0"/>
    </xf>
    <xf numFmtId="0" fontId="10" fillId="4" borderId="28" xfId="0" applyFont="1" applyFill="1" applyBorder="1" applyAlignment="1" applyProtection="1">
      <alignment horizontal="left" vertical="center" wrapText="1" indent="1"/>
    </xf>
    <xf numFmtId="0" fontId="10" fillId="4" borderId="29" xfId="0" applyFont="1" applyFill="1" applyBorder="1" applyAlignment="1" applyProtection="1">
      <alignment horizontal="left" vertical="center" wrapText="1" indent="1"/>
    </xf>
    <xf numFmtId="9" fontId="10" fillId="5" borderId="59" xfId="1" applyNumberFormat="1" applyFont="1" applyFill="1" applyBorder="1" applyAlignment="1" applyProtection="1">
      <alignment horizontal="center" vertical="top" wrapText="1"/>
    </xf>
    <xf numFmtId="9" fontId="10" fillId="5" borderId="44" xfId="1" applyNumberFormat="1" applyFont="1" applyFill="1" applyBorder="1" applyAlignment="1" applyProtection="1">
      <alignment horizontal="center" vertical="top" wrapText="1"/>
    </xf>
    <xf numFmtId="9" fontId="10" fillId="64" borderId="59" xfId="1" quotePrefix="1" applyNumberFormat="1" applyFont="1" applyFill="1" applyBorder="1" applyAlignment="1" applyProtection="1">
      <alignment horizontal="center" vertical="top" wrapText="1"/>
    </xf>
    <xf numFmtId="9" fontId="10" fillId="64" borderId="44" xfId="1" applyNumberFormat="1" applyFont="1" applyFill="1" applyBorder="1" applyAlignment="1" applyProtection="1">
      <alignment horizontal="center" vertical="top" wrapText="1"/>
    </xf>
    <xf numFmtId="0" fontId="10" fillId="5" borderId="7" xfId="0" applyFont="1" applyFill="1" applyBorder="1" applyAlignment="1" applyProtection="1">
      <alignment horizontal="left" vertical="top" wrapText="1" indent="1"/>
    </xf>
    <xf numFmtId="0" fontId="10" fillId="5" borderId="22" xfId="0" applyFont="1" applyFill="1" applyBorder="1" applyAlignment="1" applyProtection="1">
      <alignment horizontal="left" vertical="top" wrapText="1" indent="1"/>
    </xf>
    <xf numFmtId="3" fontId="10" fillId="6" borderId="37" xfId="1" applyNumberFormat="1" applyFont="1" applyFill="1" applyBorder="1" applyAlignment="1" applyProtection="1">
      <alignment horizontal="center" vertical="top" wrapText="1"/>
      <protection locked="0"/>
    </xf>
    <xf numFmtId="3" fontId="10" fillId="65" borderId="57" xfId="1" applyNumberFormat="1" applyFont="1" applyFill="1" applyBorder="1" applyAlignment="1" applyProtection="1">
      <alignment horizontal="center" vertical="top" wrapText="1"/>
      <protection locked="0"/>
    </xf>
    <xf numFmtId="0" fontId="0" fillId="65" borderId="22" xfId="0" applyFill="1" applyBorder="1" applyAlignment="1" applyProtection="1">
      <alignment horizontal="center" vertical="top" wrapText="1"/>
      <protection locked="0"/>
    </xf>
    <xf numFmtId="0" fontId="0" fillId="5" borderId="22" xfId="0" applyFill="1" applyBorder="1" applyAlignment="1">
      <alignment horizontal="left" vertical="top" wrapText="1" indent="1"/>
    </xf>
    <xf numFmtId="0" fontId="11" fillId="6" borderId="3" xfId="0" applyFont="1" applyFill="1" applyBorder="1" applyAlignment="1" applyProtection="1">
      <alignment horizontal="center" vertical="top" wrapText="1"/>
    </xf>
    <xf numFmtId="0" fontId="11" fillId="6" borderId="4" xfId="0" applyFont="1" applyFill="1" applyBorder="1" applyAlignment="1" applyProtection="1">
      <alignment horizontal="center" vertical="top" wrapText="1"/>
    </xf>
    <xf numFmtId="0" fontId="11" fillId="6" borderId="5" xfId="0" applyFont="1" applyFill="1" applyBorder="1" applyAlignment="1" applyProtection="1">
      <alignment horizontal="center" vertical="top" wrapText="1"/>
    </xf>
    <xf numFmtId="0" fontId="10" fillId="0" borderId="54" xfId="0" applyFont="1" applyFill="1" applyBorder="1" applyAlignment="1" applyProtection="1">
      <alignment horizontal="center" vertical="top" wrapText="1"/>
      <protection locked="0"/>
    </xf>
    <xf numFmtId="0" fontId="10" fillId="0" borderId="48" xfId="0" applyFont="1" applyFill="1" applyBorder="1" applyAlignment="1" applyProtection="1">
      <alignment horizontal="center" vertical="top" wrapText="1"/>
      <protection locked="0"/>
    </xf>
    <xf numFmtId="0" fontId="10" fillId="0" borderId="15" xfId="0" applyFont="1" applyFill="1" applyBorder="1" applyAlignment="1" applyProtection="1">
      <alignment horizontal="center" vertical="top" wrapText="1"/>
      <protection locked="0"/>
    </xf>
    <xf numFmtId="3" fontId="10" fillId="4" borderId="57" xfId="1" quotePrefix="1" applyNumberFormat="1" applyFont="1" applyFill="1" applyBorder="1" applyAlignment="1" applyProtection="1">
      <alignment horizontal="center" vertical="top" wrapText="1"/>
      <protection locked="0"/>
    </xf>
    <xf numFmtId="3" fontId="10" fillId="4" borderId="47" xfId="1" applyNumberFormat="1" applyFont="1" applyFill="1" applyBorder="1" applyAlignment="1" applyProtection="1">
      <alignment horizontal="center" vertical="top" wrapText="1"/>
      <protection locked="0"/>
    </xf>
    <xf numFmtId="0" fontId="10" fillId="4" borderId="30" xfId="0" applyFont="1" applyFill="1" applyBorder="1" applyAlignment="1" applyProtection="1">
      <alignment horizontal="left" vertical="center" wrapText="1" indent="1"/>
      <protection locked="0"/>
    </xf>
    <xf numFmtId="0" fontId="10" fillId="4" borderId="45" xfId="0" applyFont="1" applyFill="1" applyBorder="1" applyAlignment="1" applyProtection="1">
      <alignment horizontal="left" vertical="center" wrapText="1" indent="1"/>
      <protection locked="0"/>
    </xf>
    <xf numFmtId="3" fontId="10" fillId="5" borderId="59" xfId="1" quotePrefix="1" applyNumberFormat="1" applyFont="1" applyFill="1" applyBorder="1" applyAlignment="1" applyProtection="1">
      <alignment horizontal="center" vertical="top" wrapText="1"/>
      <protection locked="0"/>
    </xf>
    <xf numFmtId="3" fontId="10" fillId="5" borderId="29" xfId="1" applyNumberFormat="1" applyFont="1" applyFill="1" applyBorder="1" applyAlignment="1" applyProtection="1">
      <alignment horizontal="center" vertical="top" wrapText="1"/>
      <protection locked="0"/>
    </xf>
    <xf numFmtId="0" fontId="75" fillId="6" borderId="2" xfId="0" applyFont="1" applyFill="1" applyBorder="1" applyAlignment="1" applyProtection="1">
      <alignment horizontal="left" vertical="center"/>
    </xf>
    <xf numFmtId="0" fontId="75" fillId="6" borderId="39" xfId="0" applyFont="1" applyFill="1" applyBorder="1" applyAlignment="1" applyProtection="1">
      <alignment horizontal="left" vertical="center"/>
    </xf>
    <xf numFmtId="0" fontId="75" fillId="6" borderId="23" xfId="0" applyFont="1" applyFill="1" applyBorder="1" applyAlignment="1" applyProtection="1">
      <alignment horizontal="left" vertical="center"/>
    </xf>
    <xf numFmtId="0" fontId="75" fillId="6" borderId="1" xfId="0" applyFont="1" applyFill="1" applyBorder="1" applyAlignment="1" applyProtection="1">
      <alignment horizontal="left" vertical="center"/>
    </xf>
    <xf numFmtId="0" fontId="75" fillId="6" borderId="38" xfId="0" applyFont="1" applyFill="1" applyBorder="1" applyAlignment="1" applyProtection="1">
      <alignment horizontal="left" vertical="center"/>
    </xf>
    <xf numFmtId="0" fontId="75" fillId="6" borderId="25" xfId="0" applyFont="1" applyFill="1" applyBorder="1" applyAlignment="1" applyProtection="1">
      <alignment horizontal="left" vertical="center"/>
    </xf>
    <xf numFmtId="9" fontId="76" fillId="5" borderId="22" xfId="7" applyFont="1" applyFill="1" applyBorder="1" applyAlignment="1" applyProtection="1">
      <alignment horizontal="center" vertical="center"/>
    </xf>
    <xf numFmtId="9" fontId="76" fillId="5" borderId="39" xfId="7" applyFont="1" applyFill="1" applyBorder="1" applyAlignment="1" applyProtection="1">
      <alignment horizontal="center" vertical="center"/>
    </xf>
    <xf numFmtId="9" fontId="76" fillId="5" borderId="57" xfId="7" applyFont="1" applyFill="1" applyBorder="1" applyAlignment="1" applyProtection="1">
      <alignment horizontal="center" vertical="center"/>
    </xf>
    <xf numFmtId="3" fontId="76" fillId="5" borderId="45" xfId="0" applyNumberFormat="1" applyFont="1" applyFill="1" applyBorder="1" applyAlignment="1" applyProtection="1">
      <alignment horizontal="center" vertical="center"/>
    </xf>
    <xf numFmtId="3" fontId="76" fillId="5" borderId="38" xfId="0" applyNumberFormat="1" applyFont="1" applyFill="1" applyBorder="1" applyAlignment="1" applyProtection="1">
      <alignment horizontal="center" vertical="center"/>
    </xf>
    <xf numFmtId="3" fontId="76" fillId="5" borderId="53" xfId="0" applyNumberFormat="1" applyFont="1" applyFill="1" applyBorder="1" applyAlignment="1" applyProtection="1">
      <alignment horizontal="center" vertical="center"/>
    </xf>
    <xf numFmtId="0" fontId="75" fillId="6" borderId="2" xfId="0" applyFont="1" applyFill="1" applyBorder="1" applyAlignment="1" applyProtection="1">
      <alignment horizontal="left" vertical="center" wrapText="1"/>
    </xf>
    <xf numFmtId="0" fontId="75" fillId="6" borderId="39" xfId="0" applyFont="1" applyFill="1" applyBorder="1" applyAlignment="1" applyProtection="1">
      <alignment horizontal="left" vertical="center" wrapText="1"/>
    </xf>
    <xf numFmtId="0" fontId="75" fillId="6" borderId="23" xfId="0" applyFont="1" applyFill="1" applyBorder="1" applyAlignment="1" applyProtection="1">
      <alignment horizontal="left" vertical="center" wrapText="1"/>
    </xf>
    <xf numFmtId="0" fontId="75" fillId="6" borderId="7" xfId="0" applyFont="1" applyFill="1" applyBorder="1" applyAlignment="1" applyProtection="1">
      <alignment horizontal="left" vertical="center" wrapText="1"/>
    </xf>
    <xf numFmtId="0" fontId="75" fillId="6" borderId="47" xfId="0" applyFont="1" applyFill="1" applyBorder="1" applyAlignment="1" applyProtection="1">
      <alignment horizontal="left" vertical="center" wrapText="1"/>
    </xf>
    <xf numFmtId="0" fontId="75" fillId="6" borderId="16" xfId="0" applyFont="1" applyFill="1" applyBorder="1" applyAlignment="1" applyProtection="1">
      <alignment horizontal="left" vertical="center" wrapText="1"/>
    </xf>
    <xf numFmtId="3" fontId="76" fillId="5" borderId="22" xfId="0" applyNumberFormat="1" applyFont="1" applyFill="1" applyBorder="1" applyAlignment="1" applyProtection="1">
      <alignment horizontal="center" vertical="center"/>
    </xf>
    <xf numFmtId="3" fontId="76" fillId="5" borderId="39" xfId="0" applyNumberFormat="1" applyFont="1" applyFill="1" applyBorder="1" applyAlignment="1" applyProtection="1">
      <alignment horizontal="center" vertical="center"/>
    </xf>
    <xf numFmtId="3" fontId="76" fillId="5" borderId="57" xfId="0" applyNumberFormat="1" applyFont="1" applyFill="1" applyBorder="1" applyAlignment="1" applyProtection="1">
      <alignment horizontal="center" vertical="center"/>
    </xf>
    <xf numFmtId="0" fontId="76" fillId="5" borderId="22" xfId="0" applyFont="1" applyFill="1" applyBorder="1" applyAlignment="1" applyProtection="1">
      <alignment horizontal="center" vertical="center"/>
    </xf>
    <xf numFmtId="0" fontId="76" fillId="5" borderId="39" xfId="0" applyFont="1" applyFill="1" applyBorder="1" applyAlignment="1" applyProtection="1">
      <alignment horizontal="center" vertical="center"/>
    </xf>
    <xf numFmtId="0" fontId="76" fillId="5" borderId="57" xfId="0" applyFont="1" applyFill="1" applyBorder="1" applyAlignment="1" applyProtection="1">
      <alignment horizontal="center" vertical="center"/>
    </xf>
    <xf numFmtId="165" fontId="76" fillId="5" borderId="47" xfId="0" applyNumberFormat="1" applyFont="1" applyFill="1" applyBorder="1" applyAlignment="1" applyProtection="1">
      <alignment horizontal="center" vertical="center"/>
    </xf>
    <xf numFmtId="0" fontId="75" fillId="6" borderId="33" xfId="0" applyFont="1" applyFill="1" applyBorder="1" applyAlignment="1" applyProtection="1">
      <alignment horizontal="left"/>
    </xf>
    <xf numFmtId="0" fontId="75" fillId="6" borderId="58" xfId="0" applyFont="1" applyFill="1" applyBorder="1" applyAlignment="1" applyProtection="1">
      <alignment horizontal="left"/>
    </xf>
    <xf numFmtId="0" fontId="75" fillId="6" borderId="62" xfId="0" applyFont="1" applyFill="1" applyBorder="1" applyAlignment="1" applyProtection="1">
      <alignment horizontal="left"/>
    </xf>
    <xf numFmtId="0" fontId="75" fillId="6" borderId="6" xfId="0" applyFont="1" applyFill="1" applyBorder="1" applyAlignment="1" applyProtection="1">
      <alignment horizontal="center"/>
    </xf>
    <xf numFmtId="0" fontId="75" fillId="6" borderId="48" xfId="0" applyFont="1" applyFill="1" applyBorder="1" applyAlignment="1" applyProtection="1">
      <alignment horizontal="center"/>
    </xf>
    <xf numFmtId="0" fontId="75" fillId="6" borderId="15" xfId="0" applyFont="1" applyFill="1" applyBorder="1" applyAlignment="1" applyProtection="1">
      <alignment horizontal="center"/>
    </xf>
    <xf numFmtId="3" fontId="76" fillId="0" borderId="22" xfId="0" applyNumberFormat="1" applyFont="1" applyFill="1" applyBorder="1" applyAlignment="1" applyProtection="1">
      <alignment horizontal="center" vertical="center"/>
      <protection locked="0"/>
    </xf>
    <xf numFmtId="3" fontId="76" fillId="0" borderId="39" xfId="0" applyNumberFormat="1" applyFont="1" applyFill="1" applyBorder="1" applyAlignment="1" applyProtection="1">
      <alignment horizontal="center" vertical="center"/>
      <protection locked="0"/>
    </xf>
    <xf numFmtId="3" fontId="76" fillId="0" borderId="57" xfId="0" applyNumberFormat="1" applyFont="1" applyFill="1" applyBorder="1" applyAlignment="1" applyProtection="1">
      <alignment horizontal="center" vertical="center"/>
      <protection locked="0"/>
    </xf>
    <xf numFmtId="169" fontId="76" fillId="0" borderId="22" xfId="0" applyNumberFormat="1" applyFont="1" applyFill="1" applyBorder="1" applyAlignment="1" applyProtection="1">
      <alignment horizontal="center" vertical="center"/>
      <protection locked="0"/>
    </xf>
    <xf numFmtId="169" fontId="76" fillId="0" borderId="39" xfId="0" applyNumberFormat="1" applyFont="1" applyFill="1" applyBorder="1" applyAlignment="1" applyProtection="1">
      <alignment horizontal="center" vertical="center"/>
      <protection locked="0"/>
    </xf>
    <xf numFmtId="169" fontId="76" fillId="0" borderId="57" xfId="0" applyNumberFormat="1" applyFont="1" applyFill="1" applyBorder="1" applyAlignment="1" applyProtection="1">
      <alignment horizontal="center" vertical="center"/>
      <protection locked="0"/>
    </xf>
    <xf numFmtId="0" fontId="6" fillId="4" borderId="3" xfId="0" applyFont="1" applyFill="1" applyBorder="1" applyAlignment="1" applyProtection="1">
      <alignment horizontal="center"/>
    </xf>
    <xf numFmtId="0" fontId="6" fillId="4" borderId="4" xfId="0" applyFont="1" applyFill="1" applyBorder="1" applyAlignment="1" applyProtection="1">
      <alignment horizontal="center"/>
    </xf>
    <xf numFmtId="0" fontId="6" fillId="4" borderId="5" xfId="0" applyFont="1" applyFill="1" applyBorder="1" applyAlignment="1" applyProtection="1">
      <alignment horizontal="center"/>
    </xf>
    <xf numFmtId="0" fontId="76" fillId="0" borderId="7" xfId="0" applyFont="1" applyFill="1" applyBorder="1" applyAlignment="1" applyProtection="1">
      <alignment horizontal="center" vertical="center"/>
      <protection locked="0"/>
    </xf>
    <xf numFmtId="0" fontId="76" fillId="0" borderId="47" xfId="0" applyFont="1" applyFill="1" applyBorder="1" applyAlignment="1" applyProtection="1">
      <alignment horizontal="center" vertical="center"/>
      <protection locked="0"/>
    </xf>
    <xf numFmtId="0" fontId="76" fillId="0" borderId="16" xfId="0" applyFont="1" applyFill="1" applyBorder="1" applyAlignment="1" applyProtection="1">
      <alignment horizontal="center" vertical="center"/>
      <protection locked="0"/>
    </xf>
    <xf numFmtId="0" fontId="75" fillId="6" borderId="30" xfId="0" applyFont="1" applyFill="1" applyBorder="1" applyAlignment="1" applyProtection="1">
      <alignment horizontal="left" vertical="center" wrapText="1"/>
    </xf>
    <xf numFmtId="0" fontId="75" fillId="6" borderId="31" xfId="0" applyFont="1" applyFill="1" applyBorder="1" applyAlignment="1" applyProtection="1">
      <alignment horizontal="left" vertical="center" wrapText="1"/>
    </xf>
    <xf numFmtId="0" fontId="75" fillId="6" borderId="24" xfId="0" applyFont="1" applyFill="1" applyBorder="1" applyAlignment="1" applyProtection="1">
      <alignment horizontal="left" vertical="center" wrapText="1"/>
    </xf>
    <xf numFmtId="0" fontId="76" fillId="0" borderId="30" xfId="0" applyFont="1" applyFill="1" applyBorder="1" applyAlignment="1" applyProtection="1">
      <alignment horizontal="center" vertical="center"/>
      <protection locked="0"/>
    </xf>
    <xf numFmtId="0" fontId="76" fillId="0" borderId="31" xfId="0" applyFont="1" applyFill="1" applyBorder="1" applyAlignment="1" applyProtection="1">
      <alignment horizontal="center" vertical="center"/>
      <protection locked="0"/>
    </xf>
    <xf numFmtId="0" fontId="76" fillId="0" borderId="24" xfId="0" applyFont="1" applyFill="1" applyBorder="1" applyAlignment="1" applyProtection="1">
      <alignment horizontal="center" vertical="center"/>
      <protection locked="0"/>
    </xf>
    <xf numFmtId="0" fontId="68" fillId="6" borderId="101" xfId="210" applyFill="1" applyBorder="1" applyAlignment="1" applyProtection="1">
      <alignment horizontal="left" vertical="center"/>
    </xf>
    <xf numFmtId="0" fontId="68" fillId="6" borderId="177" xfId="210" applyFill="1" applyBorder="1" applyAlignment="1" applyProtection="1">
      <alignment horizontal="left" vertical="center"/>
    </xf>
    <xf numFmtId="0" fontId="68" fillId="6" borderId="157" xfId="210" applyFill="1" applyBorder="1" applyAlignment="1" applyProtection="1">
      <alignment horizontal="left" vertical="center"/>
    </xf>
    <xf numFmtId="0" fontId="68" fillId="6" borderId="27" xfId="210" applyFill="1" applyBorder="1" applyAlignment="1" applyProtection="1">
      <alignment horizontal="left" vertical="center"/>
    </xf>
    <xf numFmtId="0" fontId="68" fillId="6" borderId="0" xfId="210" applyFill="1" applyBorder="1" applyAlignment="1" applyProtection="1">
      <alignment horizontal="left" vertical="center"/>
    </xf>
    <xf numFmtId="0" fontId="68" fillId="6" borderId="18" xfId="210" applyFill="1" applyBorder="1" applyAlignment="1" applyProtection="1">
      <alignment horizontal="left" vertical="center"/>
    </xf>
    <xf numFmtId="0" fontId="68" fillId="6" borderId="28" xfId="210" applyFill="1" applyBorder="1" applyAlignment="1" applyProtection="1">
      <alignment horizontal="left" vertical="center"/>
    </xf>
    <xf numFmtId="0" fontId="68" fillId="6" borderId="29" xfId="210" applyFill="1" applyBorder="1" applyAlignment="1" applyProtection="1">
      <alignment horizontal="left" vertical="center"/>
    </xf>
    <xf numFmtId="0" fontId="68" fillId="6" borderId="14" xfId="210" applyFill="1" applyBorder="1" applyAlignment="1" applyProtection="1">
      <alignment horizontal="left" vertical="center"/>
    </xf>
    <xf numFmtId="0" fontId="11" fillId="0" borderId="0" xfId="0" applyFont="1" applyFill="1" applyBorder="1" applyAlignment="1" applyProtection="1">
      <alignment horizontal="center"/>
    </xf>
    <xf numFmtId="0" fontId="8" fillId="4" borderId="3" xfId="0" applyFont="1" applyFill="1" applyBorder="1" applyAlignment="1" applyProtection="1">
      <alignment horizontal="center" vertical="top" wrapText="1"/>
    </xf>
    <xf numFmtId="0" fontId="8" fillId="4" borderId="4" xfId="0" applyFont="1" applyFill="1" applyBorder="1" applyAlignment="1" applyProtection="1">
      <alignment horizontal="center" vertical="top" wrapText="1"/>
    </xf>
    <xf numFmtId="0" fontId="8" fillId="4" borderId="5" xfId="0" applyFont="1" applyFill="1" applyBorder="1" applyAlignment="1" applyProtection="1">
      <alignment horizontal="center" vertical="top" wrapText="1"/>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9" fillId="6" borderId="33" xfId="0" applyFont="1" applyFill="1" applyBorder="1" applyAlignment="1" applyProtection="1">
      <alignment horizontal="center"/>
    </xf>
    <xf numFmtId="0" fontId="69" fillId="6" borderId="35" xfId="0" applyFont="1" applyFill="1" applyBorder="1" applyAlignment="1" applyProtection="1">
      <alignment horizontal="center"/>
    </xf>
    <xf numFmtId="0" fontId="69" fillId="6" borderId="62" xfId="0" applyFont="1" applyFill="1" applyBorder="1" applyAlignment="1" applyProtection="1">
      <alignment horizontal="center"/>
    </xf>
    <xf numFmtId="0" fontId="69" fillId="6" borderId="20" xfId="0" applyFont="1" applyFill="1" applyBorder="1" applyAlignment="1" applyProtection="1">
      <alignment horizontal="center"/>
    </xf>
    <xf numFmtId="0" fontId="73" fillId="6" borderId="6" xfId="0" applyFont="1" applyFill="1" applyBorder="1" applyAlignment="1" applyProtection="1">
      <alignment horizontal="center" wrapText="1"/>
    </xf>
    <xf numFmtId="0" fontId="73" fillId="6" borderId="48" xfId="0" applyFont="1" applyFill="1" applyBorder="1" applyAlignment="1" applyProtection="1">
      <alignment horizontal="center" wrapText="1"/>
    </xf>
    <xf numFmtId="0" fontId="73" fillId="6" borderId="15" xfId="0" applyFont="1" applyFill="1" applyBorder="1" applyAlignment="1" applyProtection="1">
      <alignment horizontal="center" wrapText="1"/>
    </xf>
    <xf numFmtId="0" fontId="75" fillId="6" borderId="51" xfId="0" applyFont="1" applyFill="1" applyBorder="1" applyAlignment="1" applyProtection="1">
      <alignment horizontal="left"/>
    </xf>
    <xf numFmtId="0" fontId="75" fillId="6" borderId="49" xfId="0" applyFont="1" applyFill="1" applyBorder="1" applyAlignment="1" applyProtection="1">
      <alignment horizontal="left"/>
    </xf>
    <xf numFmtId="0" fontId="75" fillId="6" borderId="46" xfId="0" applyFont="1" applyFill="1" applyBorder="1" applyAlignment="1" applyProtection="1">
      <alignment horizontal="left"/>
    </xf>
    <xf numFmtId="0" fontId="75" fillId="6" borderId="7" xfId="0" applyFont="1" applyFill="1" applyBorder="1" applyAlignment="1" applyProtection="1">
      <alignment horizontal="left" vertical="center"/>
    </xf>
    <xf numFmtId="0" fontId="75" fillId="6" borderId="47" xfId="0" applyFont="1" applyFill="1" applyBorder="1" applyAlignment="1" applyProtection="1">
      <alignment horizontal="left" vertical="center"/>
    </xf>
    <xf numFmtId="0" fontId="75" fillId="6" borderId="16" xfId="0" applyFont="1" applyFill="1" applyBorder="1" applyAlignment="1" applyProtection="1">
      <alignment horizontal="left" vertical="center"/>
    </xf>
    <xf numFmtId="0" fontId="75" fillId="6" borderId="28" xfId="0" applyFont="1" applyFill="1" applyBorder="1" applyAlignment="1" applyProtection="1">
      <alignment horizontal="left" vertical="center" wrapText="1"/>
    </xf>
    <xf numFmtId="0" fontId="75" fillId="6" borderId="29" xfId="0" applyFont="1" applyFill="1" applyBorder="1" applyAlignment="1" applyProtection="1">
      <alignment horizontal="left" vertical="center" wrapText="1"/>
    </xf>
    <xf numFmtId="0" fontId="75" fillId="6" borderId="14" xfId="0" applyFont="1" applyFill="1" applyBorder="1" applyAlignment="1" applyProtection="1">
      <alignment horizontal="left" vertical="center" wrapText="1"/>
    </xf>
    <xf numFmtId="168" fontId="75" fillId="6" borderId="7" xfId="0" applyNumberFormat="1" applyFont="1" applyFill="1" applyBorder="1" applyAlignment="1" applyProtection="1">
      <alignment horizontal="center" wrapText="1"/>
    </xf>
    <xf numFmtId="168" fontId="75" fillId="6" borderId="146" xfId="0" applyNumberFormat="1" applyFont="1" applyFill="1" applyBorder="1" applyAlignment="1" applyProtection="1">
      <alignment horizontal="center" wrapText="1"/>
    </xf>
    <xf numFmtId="168" fontId="76" fillId="6" borderId="7" xfId="0" applyNumberFormat="1" applyFont="1" applyFill="1" applyBorder="1" applyAlignment="1" applyProtection="1">
      <alignment horizontal="center"/>
    </xf>
    <xf numFmtId="168" fontId="76" fillId="6" borderId="146" xfId="0" applyNumberFormat="1" applyFont="1" applyFill="1" applyBorder="1" applyAlignment="1" applyProtection="1">
      <alignment horizontal="center"/>
    </xf>
    <xf numFmtId="168" fontId="76" fillId="6" borderId="47" xfId="0" applyNumberFormat="1" applyFont="1" applyFill="1" applyBorder="1" applyAlignment="1" applyProtection="1">
      <alignment horizontal="center"/>
    </xf>
    <xf numFmtId="168" fontId="76" fillId="6" borderId="16" xfId="0" applyNumberFormat="1" applyFont="1" applyFill="1" applyBorder="1" applyAlignment="1" applyProtection="1">
      <alignment horizontal="center"/>
    </xf>
    <xf numFmtId="169" fontId="75" fillId="5" borderId="3" xfId="0" applyNumberFormat="1" applyFont="1" applyFill="1" applyBorder="1" applyAlignment="1" applyProtection="1">
      <alignment horizontal="center" vertical="center"/>
    </xf>
    <xf numFmtId="169" fontId="75" fillId="5" borderId="4" xfId="0" applyNumberFormat="1" applyFont="1" applyFill="1" applyBorder="1" applyAlignment="1" applyProtection="1">
      <alignment horizontal="center" vertical="center"/>
    </xf>
    <xf numFmtId="169" fontId="75" fillId="5" borderId="5" xfId="0" applyNumberFormat="1" applyFont="1" applyFill="1" applyBorder="1" applyAlignment="1" applyProtection="1">
      <alignment horizontal="center" vertical="center"/>
    </xf>
    <xf numFmtId="0" fontId="75" fillId="6" borderId="7" xfId="0" applyFont="1" applyFill="1" applyBorder="1" applyAlignment="1" applyProtection="1">
      <alignment horizontal="left" wrapText="1"/>
    </xf>
    <xf numFmtId="0" fontId="75" fillId="6" borderId="47" xfId="0" applyFont="1" applyFill="1" applyBorder="1" applyAlignment="1" applyProtection="1">
      <alignment horizontal="left" wrapText="1"/>
    </xf>
    <xf numFmtId="0" fontId="75" fillId="6" borderId="16" xfId="0" applyFont="1" applyFill="1" applyBorder="1" applyAlignment="1" applyProtection="1">
      <alignment horizontal="left" wrapText="1"/>
    </xf>
    <xf numFmtId="169" fontId="76" fillId="6" borderId="7" xfId="0" applyNumberFormat="1" applyFont="1" applyFill="1" applyBorder="1" applyAlignment="1" applyProtection="1">
      <alignment horizontal="center"/>
    </xf>
    <xf numFmtId="169" fontId="76" fillId="6" borderId="146" xfId="0" applyNumberFormat="1" applyFont="1" applyFill="1" applyBorder="1" applyAlignment="1" applyProtection="1">
      <alignment horizontal="center"/>
    </xf>
    <xf numFmtId="169" fontId="76" fillId="6" borderId="47" xfId="0" applyNumberFormat="1" applyFont="1" applyFill="1" applyBorder="1" applyAlignment="1" applyProtection="1">
      <alignment horizontal="center"/>
    </xf>
    <xf numFmtId="169" fontId="76" fillId="6" borderId="16" xfId="0" applyNumberFormat="1" applyFont="1" applyFill="1" applyBorder="1" applyAlignment="1" applyProtection="1">
      <alignment horizontal="center"/>
    </xf>
    <xf numFmtId="0" fontId="79" fillId="64" borderId="3" xfId="0" applyFont="1" applyFill="1" applyBorder="1" applyAlignment="1" applyProtection="1">
      <alignment horizontal="center"/>
    </xf>
    <xf numFmtId="0" fontId="79" fillId="64" borderId="4" xfId="0" applyFont="1" applyFill="1" applyBorder="1" applyAlignment="1" applyProtection="1">
      <alignment horizontal="center"/>
    </xf>
    <xf numFmtId="0" fontId="79" fillId="64" borderId="5" xfId="0" applyFont="1" applyFill="1" applyBorder="1" applyAlignment="1" applyProtection="1">
      <alignment horizontal="center"/>
    </xf>
    <xf numFmtId="0" fontId="6" fillId="0" borderId="0" xfId="0" applyFont="1" applyFill="1" applyBorder="1" applyAlignment="1" applyProtection="1">
      <alignment horizontal="center"/>
    </xf>
    <xf numFmtId="169" fontId="76" fillId="6" borderId="28" xfId="0" applyNumberFormat="1" applyFont="1" applyFill="1" applyBorder="1" applyAlignment="1" applyProtection="1">
      <alignment horizontal="center" vertical="center"/>
    </xf>
    <xf numFmtId="169" fontId="76" fillId="6" borderId="29" xfId="0" applyNumberFormat="1" applyFont="1" applyFill="1" applyBorder="1" applyAlignment="1" applyProtection="1">
      <alignment horizontal="center" vertical="center"/>
    </xf>
    <xf numFmtId="169" fontId="76" fillId="6" borderId="14" xfId="0" applyNumberFormat="1" applyFont="1" applyFill="1" applyBorder="1" applyAlignment="1" applyProtection="1">
      <alignment horizontal="center" vertical="center"/>
    </xf>
    <xf numFmtId="168" fontId="75" fillId="6" borderId="47" xfId="0" applyNumberFormat="1" applyFont="1" applyFill="1" applyBorder="1" applyAlignment="1" applyProtection="1">
      <alignment horizontal="center" wrapText="1"/>
    </xf>
    <xf numFmtId="168" fontId="75" fillId="6" borderId="16" xfId="0" applyNumberFormat="1" applyFont="1" applyFill="1" applyBorder="1" applyAlignment="1" applyProtection="1">
      <alignment horizontal="center" wrapText="1"/>
    </xf>
    <xf numFmtId="0" fontId="10" fillId="3" borderId="0" xfId="0" quotePrefix="1" applyFont="1" applyFill="1" applyBorder="1" applyAlignment="1" applyProtection="1">
      <alignment horizontal="left" vertical="center" wrapText="1"/>
    </xf>
    <xf numFmtId="0" fontId="11" fillId="3" borderId="0" xfId="0" quotePrefix="1" applyFont="1" applyFill="1" applyBorder="1" applyAlignment="1" applyProtection="1">
      <alignment horizontal="left" vertical="center" wrapText="1"/>
    </xf>
    <xf numFmtId="0" fontId="11" fillId="4" borderId="3" xfId="0" applyFont="1" applyFill="1" applyBorder="1" applyAlignment="1" applyProtection="1">
      <alignment horizontal="center" vertical="top" wrapText="1"/>
    </xf>
    <xf numFmtId="0" fontId="11" fillId="4" borderId="5" xfId="0" applyFont="1" applyFill="1" applyBorder="1" applyAlignment="1" applyProtection="1">
      <alignment horizontal="center" vertical="top" wrapText="1"/>
    </xf>
    <xf numFmtId="0" fontId="10" fillId="3" borderId="6"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0" fillId="3" borderId="7"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0" fillId="3" borderId="30" xfId="0" applyFont="1" applyFill="1" applyBorder="1" applyAlignment="1" applyProtection="1">
      <alignment horizontal="left" vertical="top" wrapText="1"/>
      <protection locked="0"/>
    </xf>
    <xf numFmtId="0" fontId="10" fillId="3" borderId="24" xfId="0" applyFont="1" applyFill="1" applyBorder="1" applyAlignment="1" applyProtection="1">
      <alignment horizontal="left" vertical="top" wrapText="1"/>
      <protection locked="0"/>
    </xf>
    <xf numFmtId="0" fontId="11" fillId="4" borderId="51" xfId="0" applyFont="1" applyFill="1" applyBorder="1" applyAlignment="1" applyProtection="1">
      <alignment horizontal="center" vertical="center" wrapText="1"/>
    </xf>
    <xf numFmtId="0" fontId="11" fillId="4" borderId="46" xfId="0" applyFont="1" applyFill="1" applyBorder="1" applyAlignment="1" applyProtection="1">
      <alignment horizontal="center" vertical="center" wrapText="1"/>
    </xf>
    <xf numFmtId="0" fontId="11" fillId="4" borderId="28" xfId="0" applyFont="1" applyFill="1" applyBorder="1" applyAlignment="1" applyProtection="1">
      <alignment horizontal="center" vertical="center" wrapText="1"/>
    </xf>
    <xf numFmtId="0" fontId="11" fillId="4" borderId="14" xfId="0" applyFont="1" applyFill="1" applyBorder="1" applyAlignment="1" applyProtection="1">
      <alignment horizontal="center" vertical="center" wrapText="1"/>
    </xf>
    <xf numFmtId="0" fontId="10" fillId="3" borderId="0" xfId="0" applyFont="1" applyFill="1" applyBorder="1" applyAlignment="1" applyProtection="1">
      <alignment horizontal="left" vertical="center" wrapText="1"/>
    </xf>
    <xf numFmtId="0" fontId="10" fillId="3" borderId="29" xfId="0" applyFont="1" applyFill="1" applyBorder="1" applyAlignment="1" applyProtection="1">
      <alignment horizontal="center"/>
    </xf>
    <xf numFmtId="0" fontId="11" fillId="3" borderId="0" xfId="0" quotePrefix="1" applyFont="1" applyFill="1" applyAlignment="1" applyProtection="1">
      <alignment horizontal="left" vertical="center" wrapText="1"/>
    </xf>
    <xf numFmtId="0" fontId="10" fillId="3" borderId="0" xfId="0" applyFont="1" applyFill="1" applyAlignment="1" applyProtection="1">
      <alignment horizontal="left" vertical="center" wrapText="1"/>
    </xf>
    <xf numFmtId="0" fontId="11" fillId="4" borderId="51" xfId="0" quotePrefix="1" applyFont="1" applyFill="1" applyBorder="1" applyAlignment="1" applyProtection="1">
      <alignment horizontal="center" vertical="center" wrapText="1"/>
    </xf>
    <xf numFmtId="0" fontId="11" fillId="4" borderId="46" xfId="0" quotePrefix="1" applyFont="1" applyFill="1" applyBorder="1" applyAlignment="1" applyProtection="1">
      <alignment horizontal="center" vertical="center" wrapText="1"/>
    </xf>
    <xf numFmtId="0" fontId="11" fillId="4" borderId="28" xfId="0" quotePrefix="1" applyFont="1" applyFill="1" applyBorder="1" applyAlignment="1" applyProtection="1">
      <alignment horizontal="center" vertical="center" wrapText="1"/>
    </xf>
    <xf numFmtId="0" fontId="11" fillId="4" borderId="14" xfId="0" quotePrefix="1" applyFont="1" applyFill="1" applyBorder="1" applyAlignment="1" applyProtection="1">
      <alignment horizontal="center" vertical="center" wrapText="1"/>
    </xf>
    <xf numFmtId="0" fontId="11" fillId="6" borderId="51" xfId="0" applyFont="1" applyFill="1" applyBorder="1" applyAlignment="1" applyProtection="1">
      <alignment horizontal="center" vertical="center" wrapText="1"/>
    </xf>
    <xf numFmtId="0" fontId="11" fillId="6" borderId="46" xfId="0" applyFont="1" applyFill="1" applyBorder="1" applyAlignment="1" applyProtection="1">
      <alignment horizontal="center" vertical="center" wrapText="1"/>
    </xf>
    <xf numFmtId="0" fontId="11" fillId="6" borderId="28"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wrapText="1"/>
    </xf>
    <xf numFmtId="0" fontId="10" fillId="3" borderId="9" xfId="0" applyFont="1" applyFill="1" applyBorder="1" applyAlignment="1" applyProtection="1">
      <alignment horizontal="center" vertical="top" wrapText="1"/>
      <protection locked="0"/>
    </xf>
    <xf numFmtId="0" fontId="11" fillId="4" borderId="12" xfId="0" applyFont="1" applyFill="1" applyBorder="1" applyAlignment="1" applyProtection="1">
      <alignment horizontal="center" vertical="center" wrapText="1"/>
    </xf>
    <xf numFmtId="0" fontId="11" fillId="4" borderId="11" xfId="0" applyFont="1" applyFill="1" applyBorder="1" applyAlignment="1" applyProtection="1">
      <alignment horizontal="center" vertical="center" wrapText="1"/>
    </xf>
    <xf numFmtId="0" fontId="11" fillId="4" borderId="26" xfId="0" applyFont="1" applyFill="1" applyBorder="1" applyAlignment="1" applyProtection="1">
      <alignment horizontal="left" vertical="top" wrapText="1"/>
    </xf>
    <xf numFmtId="0" fontId="11" fillId="4" borderId="7" xfId="0" applyFont="1" applyFill="1" applyBorder="1" applyAlignment="1" applyProtection="1">
      <alignment horizontal="left" vertical="top" wrapText="1"/>
    </xf>
    <xf numFmtId="0" fontId="11" fillId="4" borderId="22" xfId="0" applyFont="1" applyFill="1" applyBorder="1" applyAlignment="1" applyProtection="1">
      <alignment horizontal="left" vertical="top" wrapText="1"/>
    </xf>
    <xf numFmtId="0" fontId="11" fillId="0" borderId="48" xfId="0" applyFont="1" applyFill="1" applyBorder="1" applyAlignment="1" applyProtection="1">
      <alignment horizontal="left" vertical="top" wrapText="1"/>
      <protection locked="0"/>
    </xf>
    <xf numFmtId="0" fontId="11" fillId="0" borderId="15" xfId="0" applyFont="1" applyFill="1" applyBorder="1" applyAlignment="1" applyProtection="1">
      <alignment horizontal="left" vertical="top" wrapText="1"/>
      <protection locked="0"/>
    </xf>
    <xf numFmtId="0" fontId="10" fillId="3" borderId="57"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3" xfId="0" applyFont="1" applyFill="1" applyBorder="1" applyAlignment="1" applyProtection="1">
      <alignment horizontal="center"/>
    </xf>
    <xf numFmtId="0" fontId="10" fillId="3" borderId="4" xfId="0" applyFont="1" applyFill="1" applyBorder="1" applyAlignment="1" applyProtection="1">
      <alignment horizontal="center"/>
    </xf>
    <xf numFmtId="0" fontId="10" fillId="3" borderId="5" xfId="0" applyFont="1" applyFill="1" applyBorder="1" applyAlignment="1" applyProtection="1">
      <alignment horizontal="center"/>
    </xf>
    <xf numFmtId="0" fontId="11" fillId="4" borderId="49" xfId="0" applyFont="1" applyFill="1" applyBorder="1" applyAlignment="1" applyProtection="1">
      <alignment horizontal="center" vertical="center" wrapText="1"/>
    </xf>
    <xf numFmtId="0" fontId="11" fillId="4" borderId="29" xfId="0" applyFont="1" applyFill="1" applyBorder="1" applyAlignment="1" applyProtection="1">
      <alignment horizontal="center" vertical="center" wrapText="1"/>
    </xf>
    <xf numFmtId="0" fontId="11" fillId="4" borderId="28"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49" fontId="10" fillId="4" borderId="6" xfId="0" applyNumberFormat="1" applyFont="1" applyFill="1" applyBorder="1" applyAlignment="1" applyProtection="1">
      <alignment horizontal="center" vertical="top" wrapText="1"/>
      <protection locked="0"/>
    </xf>
    <xf numFmtId="49" fontId="10" fillId="4" borderId="15" xfId="0" applyNumberFormat="1" applyFont="1" applyFill="1" applyBorder="1" applyAlignment="1" applyProtection="1">
      <alignment horizontal="center" vertical="top" wrapText="1"/>
      <protection locked="0"/>
    </xf>
    <xf numFmtId="0" fontId="10" fillId="3" borderId="7" xfId="0" applyFont="1" applyFill="1" applyBorder="1" applyAlignment="1" applyProtection="1">
      <alignment horizontal="center"/>
      <protection locked="0"/>
    </xf>
    <xf numFmtId="0" fontId="10" fillId="3" borderId="16" xfId="0" applyFont="1" applyFill="1" applyBorder="1" applyAlignment="1" applyProtection="1">
      <alignment horizontal="center"/>
      <protection locked="0"/>
    </xf>
    <xf numFmtId="0" fontId="11" fillId="4" borderId="51" xfId="0" applyFont="1" applyFill="1" applyBorder="1" applyAlignment="1" applyProtection="1">
      <alignment horizontal="left" vertical="top" wrapText="1"/>
    </xf>
    <xf numFmtId="0" fontId="11" fillId="4" borderId="66" xfId="0" applyFont="1" applyFill="1" applyBorder="1" applyAlignment="1" applyProtection="1">
      <alignment horizontal="left" vertical="top" wrapText="1"/>
    </xf>
    <xf numFmtId="0" fontId="11" fillId="4" borderId="28" xfId="0" applyFont="1" applyFill="1" applyBorder="1" applyAlignment="1" applyProtection="1">
      <alignment horizontal="left" vertical="top" wrapText="1"/>
    </xf>
    <xf numFmtId="0" fontId="11" fillId="4" borderId="44" xfId="0" applyFont="1" applyFill="1" applyBorder="1" applyAlignment="1" applyProtection="1">
      <alignment horizontal="left" vertical="top" wrapText="1"/>
    </xf>
    <xf numFmtId="0" fontId="11" fillId="4" borderId="4" xfId="0" applyFont="1" applyFill="1" applyBorder="1" applyAlignment="1" applyProtection="1">
      <alignment horizontal="center" vertical="top" wrapText="1"/>
    </xf>
    <xf numFmtId="0" fontId="10" fillId="4" borderId="28" xfId="0" applyFont="1" applyFill="1" applyBorder="1" applyAlignment="1" applyProtection="1">
      <alignment horizontal="center"/>
    </xf>
    <xf numFmtId="0" fontId="10" fillId="4" borderId="14" xfId="0" applyFont="1" applyFill="1" applyBorder="1" applyAlignment="1" applyProtection="1">
      <alignment horizontal="center"/>
    </xf>
    <xf numFmtId="0" fontId="10" fillId="3" borderId="63" xfId="0" applyFont="1" applyFill="1" applyBorder="1" applyAlignment="1" applyProtection="1">
      <alignment horizontal="center"/>
      <protection locked="0"/>
    </xf>
    <xf numFmtId="0" fontId="10" fillId="3" borderId="50" xfId="0" applyFont="1" applyFill="1" applyBorder="1" applyAlignment="1" applyProtection="1">
      <alignment horizontal="center"/>
      <protection locked="0"/>
    </xf>
    <xf numFmtId="0" fontId="11" fillId="4" borderId="30" xfId="0" applyFont="1" applyFill="1" applyBorder="1" applyAlignment="1" applyProtection="1">
      <alignment horizontal="left" vertical="top" wrapText="1"/>
    </xf>
    <xf numFmtId="0" fontId="11" fillId="4" borderId="45" xfId="0" applyFont="1" applyFill="1" applyBorder="1" applyAlignment="1" applyProtection="1">
      <alignment horizontal="left" vertical="top" wrapText="1"/>
    </xf>
    <xf numFmtId="170" fontId="10" fillId="3" borderId="57" xfId="0" applyNumberFormat="1" applyFont="1" applyFill="1" applyBorder="1" applyAlignment="1" applyProtection="1">
      <alignment horizontal="center" vertical="top" wrapText="1"/>
      <protection locked="0"/>
    </xf>
    <xf numFmtId="170" fontId="10" fillId="3" borderId="16" xfId="0" applyNumberFormat="1" applyFont="1" applyFill="1" applyBorder="1" applyAlignment="1" applyProtection="1">
      <alignment horizontal="center" vertical="top" wrapText="1"/>
      <protection locked="0"/>
    </xf>
    <xf numFmtId="3" fontId="10" fillId="3" borderId="53" xfId="0" applyNumberFormat="1" applyFont="1" applyFill="1" applyBorder="1" applyAlignment="1" applyProtection="1">
      <alignment horizontal="center" vertical="top" wrapText="1"/>
      <protection locked="0"/>
    </xf>
    <xf numFmtId="3" fontId="10" fillId="3" borderId="24" xfId="0" applyNumberFormat="1" applyFont="1" applyFill="1" applyBorder="1" applyAlignment="1" applyProtection="1">
      <alignment horizontal="center" vertical="top" wrapText="1"/>
      <protection locked="0"/>
    </xf>
    <xf numFmtId="0" fontId="10" fillId="4" borderId="57" xfId="0" applyFont="1" applyFill="1" applyBorder="1" applyAlignment="1" applyProtection="1">
      <alignment horizontal="center" vertical="top" wrapText="1"/>
      <protection locked="0"/>
    </xf>
    <xf numFmtId="0" fontId="10" fillId="4" borderId="16" xfId="0" applyFont="1" applyFill="1" applyBorder="1" applyAlignment="1" applyProtection="1">
      <alignment horizontal="center" vertical="top" wrapText="1"/>
      <protection locked="0"/>
    </xf>
    <xf numFmtId="3" fontId="10" fillId="3" borderId="57" xfId="0" applyNumberFormat="1" applyFont="1" applyFill="1" applyBorder="1" applyAlignment="1" applyProtection="1">
      <alignment horizontal="center" vertical="top" wrapText="1"/>
      <protection locked="0"/>
    </xf>
    <xf numFmtId="3" fontId="10" fillId="3" borderId="16" xfId="0" applyNumberFormat="1" applyFont="1" applyFill="1" applyBorder="1" applyAlignment="1" applyProtection="1">
      <alignment horizontal="center" vertical="top" wrapText="1"/>
      <protection locked="0"/>
    </xf>
    <xf numFmtId="0" fontId="11" fillId="4" borderId="3" xfId="0" quotePrefix="1" applyFont="1" applyFill="1" applyBorder="1" applyAlignment="1" applyProtection="1">
      <alignment horizontal="left" vertical="top" wrapText="1"/>
    </xf>
    <xf numFmtId="0" fontId="11" fillId="4" borderId="5" xfId="0" quotePrefix="1" applyFont="1" applyFill="1" applyBorder="1" applyAlignment="1" applyProtection="1">
      <alignment horizontal="left" vertical="top" wrapText="1"/>
    </xf>
    <xf numFmtId="0" fontId="11" fillId="4" borderId="51" xfId="0" applyFont="1" applyFill="1" applyBorder="1" applyAlignment="1" applyProtection="1">
      <alignment vertical="top" wrapText="1"/>
    </xf>
    <xf numFmtId="0" fontId="11" fillId="4" borderId="49" xfId="0" applyFont="1" applyFill="1" applyBorder="1" applyAlignment="1" applyProtection="1">
      <alignment vertical="top" wrapText="1"/>
    </xf>
    <xf numFmtId="0" fontId="11" fillId="4" borderId="46" xfId="0" applyFont="1" applyFill="1" applyBorder="1" applyAlignment="1" applyProtection="1">
      <alignment vertical="top" wrapText="1"/>
    </xf>
    <xf numFmtId="0" fontId="10" fillId="4" borderId="28" xfId="0" quotePrefix="1" applyFont="1" applyFill="1" applyBorder="1" applyAlignment="1" applyProtection="1">
      <alignment horizontal="left" vertical="top" wrapText="1"/>
    </xf>
    <xf numFmtId="0" fontId="10" fillId="4" borderId="29" xfId="0" applyFont="1" applyFill="1" applyBorder="1" applyAlignment="1" applyProtection="1">
      <alignment vertical="top" wrapText="1"/>
    </xf>
    <xf numFmtId="0" fontId="10" fillId="4" borderId="14" xfId="0" applyFont="1" applyFill="1" applyBorder="1" applyAlignment="1" applyProtection="1">
      <alignment vertical="top" wrapText="1"/>
    </xf>
    <xf numFmtId="168" fontId="10" fillId="0" borderId="3" xfId="0" applyNumberFormat="1" applyFont="1" applyFill="1" applyBorder="1" applyAlignment="1" applyProtection="1">
      <alignment horizontal="center" vertical="center"/>
      <protection locked="0"/>
    </xf>
    <xf numFmtId="168" fontId="10" fillId="0" borderId="5" xfId="0" applyNumberFormat="1" applyFont="1" applyFill="1" applyBorder="1" applyAlignment="1" applyProtection="1">
      <alignment horizontal="center" vertical="center"/>
      <protection locked="0"/>
    </xf>
    <xf numFmtId="3" fontId="10" fillId="3" borderId="7" xfId="4" applyNumberFormat="1" applyFont="1" applyFill="1" applyBorder="1" applyAlignment="1" applyProtection="1">
      <alignment horizontal="center" vertical="top" wrapText="1"/>
      <protection locked="0"/>
    </xf>
    <xf numFmtId="3" fontId="10" fillId="3" borderId="16" xfId="4" applyNumberFormat="1" applyFont="1" applyFill="1" applyBorder="1" applyAlignment="1" applyProtection="1">
      <alignment horizontal="center" vertical="top" wrapText="1"/>
      <protection locked="0"/>
    </xf>
    <xf numFmtId="0" fontId="11" fillId="4" borderId="5" xfId="0" applyFont="1" applyFill="1" applyBorder="1" applyAlignment="1" applyProtection="1">
      <alignment vertical="top" wrapText="1"/>
    </xf>
    <xf numFmtId="169" fontId="10" fillId="4" borderId="3" xfId="7" applyNumberFormat="1" applyFont="1" applyFill="1" applyBorder="1" applyAlignment="1" applyProtection="1">
      <alignment horizontal="center" vertical="center" wrapText="1"/>
    </xf>
    <xf numFmtId="169" fontId="10" fillId="4" borderId="5" xfId="7" applyNumberFormat="1" applyFont="1" applyFill="1" applyBorder="1" applyAlignment="1" applyProtection="1">
      <alignment horizontal="center" vertical="center" wrapText="1"/>
    </xf>
    <xf numFmtId="0" fontId="11" fillId="4" borderId="28" xfId="0" applyFont="1" applyFill="1" applyBorder="1" applyAlignment="1" applyProtection="1">
      <alignment vertical="top" wrapText="1"/>
    </xf>
    <xf numFmtId="0" fontId="11" fillId="4" borderId="29" xfId="0" applyFont="1" applyFill="1" applyBorder="1" applyAlignment="1" applyProtection="1">
      <alignment vertical="top" wrapText="1"/>
    </xf>
    <xf numFmtId="49" fontId="10" fillId="3" borderId="7" xfId="0" applyNumberFormat="1" applyFont="1" applyFill="1" applyBorder="1" applyAlignment="1" applyProtection="1">
      <alignment vertical="top" wrapText="1"/>
      <protection locked="0"/>
    </xf>
    <xf numFmtId="49" fontId="10" fillId="3" borderId="47" xfId="0" applyNumberFormat="1" applyFont="1" applyFill="1" applyBorder="1" applyAlignment="1" applyProtection="1">
      <alignment vertical="top" wrapText="1"/>
      <protection locked="0"/>
    </xf>
    <xf numFmtId="168" fontId="10" fillId="3" borderId="7" xfId="4" applyNumberFormat="1" applyFont="1" applyFill="1" applyBorder="1" applyAlignment="1" applyProtection="1">
      <alignment horizontal="center" vertical="top" wrapText="1"/>
      <protection locked="0"/>
    </xf>
    <xf numFmtId="168" fontId="10" fillId="3" borderId="16" xfId="4" applyNumberFormat="1" applyFont="1" applyFill="1" applyBorder="1" applyAlignment="1" applyProtection="1">
      <alignment horizontal="center" vertical="top" wrapText="1"/>
      <protection locked="0"/>
    </xf>
    <xf numFmtId="0" fontId="10" fillId="3" borderId="40" xfId="0" applyFont="1" applyFill="1" applyBorder="1" applyAlignment="1" applyProtection="1">
      <alignment vertical="top" wrapText="1"/>
      <protection locked="0"/>
    </xf>
    <xf numFmtId="0" fontId="10" fillId="3" borderId="54" xfId="0" applyFont="1" applyFill="1" applyBorder="1" applyAlignment="1" applyProtection="1">
      <alignment vertical="top" wrapText="1"/>
      <protection locked="0"/>
    </xf>
    <xf numFmtId="168" fontId="10" fillId="3" borderId="6" xfId="4" applyNumberFormat="1" applyFont="1" applyFill="1" applyBorder="1" applyAlignment="1" applyProtection="1">
      <alignment horizontal="center" vertical="top" wrapText="1"/>
      <protection locked="0"/>
    </xf>
    <xf numFmtId="168" fontId="10" fillId="3" borderId="15" xfId="4" applyNumberFormat="1" applyFont="1" applyFill="1" applyBorder="1" applyAlignment="1" applyProtection="1">
      <alignment horizontal="center" vertical="top" wrapText="1"/>
      <protection locked="0"/>
    </xf>
    <xf numFmtId="0" fontId="11" fillId="4" borderId="28" xfId="0" quotePrefix="1" applyFont="1" applyFill="1" applyBorder="1" applyAlignment="1" applyProtection="1">
      <alignment horizontal="left" vertical="top" wrapText="1"/>
    </xf>
    <xf numFmtId="168" fontId="10" fillId="3" borderId="28" xfId="4" applyNumberFormat="1" applyFont="1" applyFill="1" applyBorder="1" applyAlignment="1" applyProtection="1">
      <alignment horizontal="center" vertical="top" wrapText="1"/>
      <protection locked="0"/>
    </xf>
    <xf numFmtId="168" fontId="10" fillId="3" borderId="14" xfId="4" applyNumberFormat="1" applyFont="1" applyFill="1" applyBorder="1" applyAlignment="1" applyProtection="1">
      <alignment horizontal="center" vertical="top" wrapText="1"/>
      <protection locked="0"/>
    </xf>
    <xf numFmtId="168" fontId="10" fillId="4" borderId="3" xfId="4" applyNumberFormat="1" applyFont="1" applyFill="1" applyBorder="1" applyAlignment="1" applyProtection="1">
      <alignment horizontal="center" vertical="top" wrapText="1"/>
    </xf>
    <xf numFmtId="168" fontId="10" fillId="4" borderId="5" xfId="4" applyNumberFormat="1" applyFont="1" applyFill="1" applyBorder="1" applyAlignment="1" applyProtection="1">
      <alignment horizontal="center" vertical="top" wrapText="1"/>
    </xf>
    <xf numFmtId="0" fontId="11" fillId="4" borderId="51" xfId="0" applyFont="1" applyFill="1" applyBorder="1" applyAlignment="1" applyProtection="1">
      <alignment horizontal="center" vertical="top" wrapText="1"/>
    </xf>
    <xf numFmtId="0" fontId="11" fillId="4" borderId="46" xfId="0" applyFont="1" applyFill="1" applyBorder="1" applyAlignment="1" applyProtection="1">
      <alignment horizontal="center" vertical="top" wrapText="1"/>
    </xf>
    <xf numFmtId="0" fontId="10" fillId="3" borderId="6" xfId="0" applyFont="1" applyFill="1" applyBorder="1" applyAlignment="1" applyProtection="1">
      <alignment horizontal="center" vertical="top" wrapText="1"/>
      <protection locked="0"/>
    </xf>
    <xf numFmtId="0" fontId="10" fillId="3" borderId="15" xfId="0" applyFont="1" applyFill="1" applyBorder="1" applyAlignment="1" applyProtection="1">
      <alignment horizontal="center" vertical="top" wrapText="1"/>
      <protection locked="0"/>
    </xf>
    <xf numFmtId="0" fontId="10" fillId="3" borderId="19" xfId="0" applyFont="1" applyFill="1" applyBorder="1" applyAlignment="1" applyProtection="1">
      <alignment horizontal="center" vertical="top" wrapText="1"/>
      <protection locked="0"/>
    </xf>
    <xf numFmtId="0" fontId="10" fillId="3" borderId="8" xfId="0" applyFont="1" applyFill="1" applyBorder="1" applyAlignment="1" applyProtection="1">
      <alignment horizontal="center" vertical="top" wrapText="1"/>
      <protection locked="0"/>
    </xf>
    <xf numFmtId="0" fontId="11" fillId="4" borderId="49"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3" xfId="0" applyFont="1" applyFill="1" applyBorder="1" applyAlignment="1" applyProtection="1">
      <alignment vertical="top" wrapText="1"/>
    </xf>
    <xf numFmtId="168" fontId="10" fillId="0" borderId="3" xfId="4" quotePrefix="1" applyNumberFormat="1" applyFont="1" applyFill="1" applyBorder="1" applyAlignment="1" applyProtection="1">
      <alignment horizontal="center" vertical="center" wrapText="1"/>
      <protection locked="0"/>
    </xf>
    <xf numFmtId="168" fontId="10" fillId="0" borderId="5" xfId="4" quotePrefix="1" applyNumberFormat="1"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xf>
    <xf numFmtId="0" fontId="9" fillId="3" borderId="4" xfId="0" applyFont="1" applyFill="1" applyBorder="1" applyAlignment="1" applyProtection="1">
      <alignment horizontal="center"/>
    </xf>
    <xf numFmtId="0" fontId="9" fillId="3" borderId="5" xfId="0" applyFont="1" applyFill="1" applyBorder="1" applyAlignment="1" applyProtection="1">
      <alignment horizontal="center"/>
    </xf>
    <xf numFmtId="168" fontId="10" fillId="0" borderId="3" xfId="4" applyNumberFormat="1" applyFont="1" applyFill="1" applyBorder="1" applyAlignment="1" applyProtection="1">
      <alignment horizontal="center" wrapText="1"/>
      <protection locked="0"/>
    </xf>
    <xf numFmtId="168" fontId="10" fillId="0" borderId="5" xfId="4" applyNumberFormat="1" applyFont="1" applyFill="1" applyBorder="1" applyAlignment="1" applyProtection="1">
      <alignment horizontal="center" wrapText="1"/>
      <protection locked="0"/>
    </xf>
    <xf numFmtId="0" fontId="11" fillId="66" borderId="3" xfId="0" quotePrefix="1" applyFont="1" applyFill="1" applyBorder="1" applyAlignment="1" applyProtection="1">
      <alignment horizontal="left" vertical="top" wrapText="1"/>
    </xf>
    <xf numFmtId="0" fontId="11" fillId="66" borderId="4" xfId="0" applyFont="1" applyFill="1" applyBorder="1" applyAlignment="1" applyProtection="1">
      <alignment vertical="top" wrapText="1"/>
    </xf>
    <xf numFmtId="0" fontId="11" fillId="66" borderId="5" xfId="0" applyFont="1" applyFill="1" applyBorder="1" applyAlignment="1" applyProtection="1">
      <alignment vertical="top" wrapText="1"/>
    </xf>
    <xf numFmtId="168" fontId="10" fillId="0" borderId="3" xfId="4" applyNumberFormat="1" applyFont="1" applyFill="1" applyBorder="1" applyAlignment="1" applyProtection="1">
      <alignment horizontal="center" vertical="center" wrapText="1"/>
      <protection locked="0"/>
    </xf>
    <xf numFmtId="168" fontId="10" fillId="0" borderId="5" xfId="4" applyNumberFormat="1" applyFont="1" applyFill="1" applyBorder="1" applyAlignment="1" applyProtection="1">
      <alignment horizontal="center" vertical="center" wrapText="1"/>
      <protection locked="0"/>
    </xf>
    <xf numFmtId="49" fontId="10" fillId="3" borderId="28" xfId="0" applyNumberFormat="1" applyFont="1" applyFill="1" applyBorder="1" applyAlignment="1" applyProtection="1">
      <alignment vertical="top" wrapText="1"/>
      <protection locked="0"/>
    </xf>
    <xf numFmtId="49" fontId="10" fillId="3" borderId="29" xfId="0" applyNumberFormat="1"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48" xfId="0" applyFont="1" applyFill="1" applyBorder="1" applyAlignment="1" applyProtection="1">
      <alignment vertical="top" wrapText="1"/>
      <protection locked="0"/>
    </xf>
    <xf numFmtId="49" fontId="10" fillId="3" borderId="40" xfId="0" applyNumberFormat="1" applyFont="1" applyFill="1" applyBorder="1" applyAlignment="1" applyProtection="1">
      <alignment vertical="top" wrapText="1"/>
      <protection locked="0"/>
    </xf>
    <xf numFmtId="49" fontId="10" fillId="3" borderId="54" xfId="0" applyNumberFormat="1" applyFont="1" applyFill="1" applyBorder="1" applyAlignment="1" applyProtection="1">
      <alignment vertical="top" wrapText="1"/>
      <protection locked="0"/>
    </xf>
    <xf numFmtId="0" fontId="11" fillId="6" borderId="12" xfId="0" applyFont="1" applyFill="1" applyBorder="1" applyAlignment="1" applyProtection="1">
      <alignment horizontal="center" vertical="center" wrapText="1"/>
    </xf>
    <xf numFmtId="0" fontId="11" fillId="6" borderId="11" xfId="0" applyFont="1" applyFill="1" applyBorder="1" applyAlignment="1" applyProtection="1">
      <alignment horizontal="center" vertical="center" wrapText="1"/>
    </xf>
    <xf numFmtId="0" fontId="11" fillId="4" borderId="46" xfId="0" applyFont="1" applyFill="1" applyBorder="1" applyAlignment="1" applyProtection="1">
      <alignment horizontal="left" vertical="top" wrapText="1"/>
    </xf>
    <xf numFmtId="0" fontId="11" fillId="4" borderId="14" xfId="0" applyFont="1" applyFill="1" applyBorder="1" applyAlignment="1" applyProtection="1">
      <alignment horizontal="left" vertical="top" wrapText="1"/>
    </xf>
    <xf numFmtId="0" fontId="10" fillId="3" borderId="0" xfId="0" applyFont="1" applyFill="1" applyBorder="1" applyAlignment="1" applyProtection="1">
      <alignment horizontal="center"/>
    </xf>
    <xf numFmtId="3" fontId="10" fillId="3" borderId="6" xfId="4" applyNumberFormat="1" applyFont="1" applyFill="1" applyBorder="1" applyAlignment="1" applyProtection="1">
      <alignment horizontal="center" vertical="top" wrapText="1"/>
      <protection locked="0"/>
    </xf>
    <xf numFmtId="3" fontId="10" fillId="3" borderId="15" xfId="4" applyNumberFormat="1" applyFont="1" applyFill="1" applyBorder="1" applyAlignment="1" applyProtection="1">
      <alignment horizontal="center" vertical="top" wrapText="1"/>
      <protection locked="0"/>
    </xf>
    <xf numFmtId="49" fontId="10" fillId="3" borderId="7" xfId="0" applyNumberFormat="1" applyFont="1" applyFill="1" applyBorder="1" applyAlignment="1" applyProtection="1">
      <alignment horizontal="left" vertical="top" wrapText="1"/>
      <protection locked="0"/>
    </xf>
    <xf numFmtId="49" fontId="10" fillId="3" borderId="16" xfId="0" applyNumberFormat="1" applyFont="1" applyFill="1" applyBorder="1" applyAlignment="1" applyProtection="1">
      <alignment horizontal="left" vertical="top" wrapText="1"/>
      <protection locked="0"/>
    </xf>
    <xf numFmtId="49" fontId="10" fillId="3" borderId="30" xfId="0" applyNumberFormat="1" applyFont="1" applyFill="1" applyBorder="1" applyAlignment="1" applyProtection="1">
      <alignment horizontal="left" vertical="top" wrapText="1"/>
      <protection locked="0"/>
    </xf>
    <xf numFmtId="49" fontId="10" fillId="3" borderId="24" xfId="0" applyNumberFormat="1"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xf>
    <xf numFmtId="0" fontId="11" fillId="4" borderId="4" xfId="0" applyFont="1" applyFill="1" applyBorder="1" applyAlignment="1" applyProtection="1">
      <alignment horizontal="left" vertical="top" wrapText="1"/>
    </xf>
    <xf numFmtId="0" fontId="11" fillId="4" borderId="5" xfId="0" applyFont="1" applyFill="1" applyBorder="1" applyAlignment="1" applyProtection="1">
      <alignment horizontal="left" vertical="top" wrapText="1"/>
    </xf>
    <xf numFmtId="0" fontId="8" fillId="4" borderId="173" xfId="0" applyFont="1" applyFill="1" applyBorder="1" applyAlignment="1" applyProtection="1">
      <alignment horizontal="center" vertical="top" wrapText="1"/>
    </xf>
    <xf numFmtId="0" fontId="11" fillId="4" borderId="173" xfId="0" applyFont="1" applyFill="1" applyBorder="1" applyAlignment="1" applyProtection="1">
      <alignment horizontal="left" vertical="top" wrapText="1"/>
    </xf>
    <xf numFmtId="0" fontId="10" fillId="4" borderId="3" xfId="0" applyFont="1" applyFill="1" applyBorder="1" applyAlignment="1" applyProtection="1">
      <alignment horizontal="center" vertical="top" wrapText="1"/>
    </xf>
    <xf numFmtId="0" fontId="10" fillId="4" borderId="4" xfId="0" applyFont="1" applyFill="1" applyBorder="1" applyAlignment="1" applyProtection="1">
      <alignment horizontal="center" vertical="top" wrapText="1"/>
    </xf>
    <xf numFmtId="0" fontId="10" fillId="4" borderId="5" xfId="0" applyFont="1" applyFill="1" applyBorder="1" applyAlignment="1" applyProtection="1">
      <alignment horizontal="center" vertical="top" wrapText="1"/>
    </xf>
    <xf numFmtId="0" fontId="11" fillId="4" borderId="12" xfId="0" applyFont="1" applyFill="1" applyBorder="1" applyAlignment="1" applyProtection="1">
      <alignment horizontal="center" vertical="top" wrapText="1"/>
    </xf>
    <xf numFmtId="0" fontId="11" fillId="4" borderId="11" xfId="0" applyFont="1" applyFill="1" applyBorder="1" applyAlignment="1" applyProtection="1">
      <alignment horizontal="center" vertical="top" wrapText="1"/>
    </xf>
    <xf numFmtId="0" fontId="10" fillId="3" borderId="7" xfId="0" applyFont="1" applyFill="1" applyBorder="1" applyAlignment="1" applyProtection="1">
      <alignment horizontal="center" vertical="top" wrapText="1"/>
      <protection locked="0"/>
    </xf>
    <xf numFmtId="0" fontId="11" fillId="4" borderId="40" xfId="0" applyFont="1" applyFill="1" applyBorder="1" applyAlignment="1" applyProtection="1">
      <alignment horizontal="center" vertical="top" wrapText="1"/>
    </xf>
    <xf numFmtId="0" fontId="11" fillId="4" borderId="42" xfId="0"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11" fillId="4" borderId="23" xfId="0"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25" xfId="0" applyFont="1" applyFill="1" applyBorder="1" applyAlignment="1" applyProtection="1">
      <alignment horizontal="center" vertical="top" wrapText="1"/>
    </xf>
    <xf numFmtId="0" fontId="10" fillId="3" borderId="30" xfId="0" applyFont="1" applyFill="1" applyBorder="1" applyAlignment="1" applyProtection="1">
      <alignment horizontal="center" vertical="top" wrapText="1"/>
      <protection locked="0"/>
    </xf>
    <xf numFmtId="0" fontId="10" fillId="3" borderId="24" xfId="0" applyFont="1" applyFill="1" applyBorder="1" applyAlignment="1" applyProtection="1">
      <alignment horizontal="center" vertical="top" wrapText="1"/>
      <protection locked="0"/>
    </xf>
    <xf numFmtId="49" fontId="10" fillId="3" borderId="6" xfId="0" applyNumberFormat="1" applyFont="1" applyFill="1" applyBorder="1" applyAlignment="1" applyProtection="1">
      <alignment horizontal="left" vertical="top" wrapText="1"/>
      <protection locked="0"/>
    </xf>
    <xf numFmtId="49" fontId="10" fillId="3" borderId="15" xfId="0" applyNumberFormat="1" applyFont="1" applyFill="1" applyBorder="1" applyAlignment="1" applyProtection="1">
      <alignment horizontal="left" vertical="top" wrapText="1"/>
      <protection locked="0"/>
    </xf>
    <xf numFmtId="0" fontId="11" fillId="4" borderId="12" xfId="0" quotePrefix="1" applyFont="1" applyFill="1" applyBorder="1" applyAlignment="1" applyProtection="1">
      <alignment horizontal="center" vertical="center" wrapText="1"/>
    </xf>
    <xf numFmtId="0" fontId="11" fillId="4" borderId="11" xfId="0" quotePrefix="1" applyFont="1" applyFill="1" applyBorder="1" applyAlignment="1" applyProtection="1">
      <alignment horizontal="center" vertical="center" wrapText="1"/>
    </xf>
    <xf numFmtId="0" fontId="119" fillId="0" borderId="0" xfId="210" quotePrefix="1" applyFont="1" applyAlignment="1" applyProtection="1">
      <alignment horizontal="center"/>
    </xf>
    <xf numFmtId="0" fontId="121" fillId="0" borderId="0" xfId="4378" quotePrefix="1" applyFont="1" applyAlignment="1" applyProtection="1">
      <alignment horizontal="left" vertical="center" wrapText="1"/>
    </xf>
    <xf numFmtId="0" fontId="118" fillId="5" borderId="40" xfId="4378" applyFont="1" applyFill="1" applyBorder="1" applyAlignment="1" applyProtection="1">
      <alignment horizontal="left" vertical="center"/>
    </xf>
    <xf numFmtId="0" fontId="118" fillId="5" borderId="2" xfId="4378" applyFont="1" applyFill="1" applyBorder="1" applyAlignment="1" applyProtection="1">
      <alignment horizontal="left" vertical="center"/>
    </xf>
    <xf numFmtId="0" fontId="118" fillId="5" borderId="1" xfId="4378" applyFont="1" applyFill="1" applyBorder="1" applyAlignment="1" applyProtection="1">
      <alignment horizontal="left" vertical="center"/>
    </xf>
    <xf numFmtId="0" fontId="118" fillId="5" borderId="36" xfId="4378" applyFont="1" applyFill="1" applyBorder="1" applyAlignment="1" applyProtection="1">
      <alignment horizontal="center" vertical="center"/>
    </xf>
    <xf numFmtId="0" fontId="118" fillId="5" borderId="39" xfId="4378" applyFont="1" applyFill="1" applyBorder="1" applyAlignment="1" applyProtection="1">
      <alignment horizontal="center" vertical="center"/>
    </xf>
    <xf numFmtId="0" fontId="118" fillId="5" borderId="38" xfId="4378" applyFont="1" applyFill="1" applyBorder="1" applyAlignment="1" applyProtection="1">
      <alignment horizontal="center" vertical="center"/>
    </xf>
    <xf numFmtId="0" fontId="118" fillId="5" borderId="42" xfId="4378" applyFont="1" applyFill="1" applyBorder="1" applyAlignment="1" applyProtection="1">
      <alignment horizontal="left" vertical="center" wrapText="1"/>
    </xf>
    <xf numFmtId="0" fontId="118" fillId="5" borderId="23" xfId="4378" applyFont="1" applyFill="1" applyBorder="1" applyAlignment="1" applyProtection="1">
      <alignment horizontal="left" vertical="center" wrapText="1"/>
    </xf>
    <xf numFmtId="0" fontId="118" fillId="5" borderId="25" xfId="4378" applyFont="1" applyFill="1" applyBorder="1" applyAlignment="1" applyProtection="1">
      <alignment horizontal="left" vertical="center" wrapText="1"/>
    </xf>
    <xf numFmtId="0" fontId="11" fillId="5" borderId="41" xfId="4378" applyFont="1" applyFill="1" applyBorder="1" applyAlignment="1" applyProtection="1">
      <alignment vertical="center" wrapText="1"/>
    </xf>
    <xf numFmtId="0" fontId="11" fillId="5" borderId="104" xfId="4378" applyFont="1" applyFill="1" applyBorder="1" applyAlignment="1" applyProtection="1">
      <alignment vertical="center" wrapText="1"/>
    </xf>
    <xf numFmtId="0" fontId="117" fillId="5" borderId="51" xfId="4378" applyFont="1" applyFill="1" applyBorder="1" applyAlignment="1" applyProtection="1">
      <alignment horizontal="center"/>
    </xf>
    <xf numFmtId="0" fontId="117" fillId="5" borderId="49" xfId="4378" applyFont="1" applyFill="1" applyBorder="1" applyAlignment="1" applyProtection="1">
      <alignment horizontal="center"/>
    </xf>
    <xf numFmtId="0" fontId="117" fillId="5" borderId="46" xfId="4378" applyFont="1" applyFill="1" applyBorder="1" applyAlignment="1" applyProtection="1">
      <alignment horizontal="center"/>
    </xf>
    <xf numFmtId="0" fontId="118" fillId="5" borderId="3" xfId="4378" applyFont="1" applyFill="1" applyBorder="1" applyAlignment="1" applyProtection="1">
      <alignment horizontal="left" vertical="center" wrapText="1"/>
    </xf>
    <xf numFmtId="0" fontId="118" fillId="5" borderId="4" xfId="4378" applyFont="1" applyFill="1" applyBorder="1" applyAlignment="1" applyProtection="1">
      <alignment horizontal="left" vertical="center" wrapText="1"/>
    </xf>
    <xf numFmtId="0" fontId="118" fillId="5" borderId="5" xfId="4378" applyFont="1" applyFill="1" applyBorder="1" applyAlignment="1" applyProtection="1">
      <alignment horizontal="left" vertical="center" wrapText="1"/>
    </xf>
    <xf numFmtId="0" fontId="6" fillId="0" borderId="3" xfId="4378" applyFont="1" applyBorder="1" applyAlignment="1" applyProtection="1">
      <alignment horizontal="center" vertical="center"/>
    </xf>
    <xf numFmtId="0" fontId="6" fillId="0" borderId="4" xfId="4378" applyFont="1" applyBorder="1" applyAlignment="1" applyProtection="1">
      <alignment horizontal="center" vertical="center"/>
    </xf>
    <xf numFmtId="0" fontId="6" fillId="0" borderId="5" xfId="4378" applyFont="1" applyBorder="1" applyAlignment="1" applyProtection="1">
      <alignment horizontal="center" vertical="center"/>
    </xf>
    <xf numFmtId="0" fontId="11" fillId="5" borderId="62" xfId="4378" applyFont="1" applyFill="1" applyBorder="1" applyAlignment="1" applyProtection="1">
      <alignment horizontal="left" vertical="center" wrapText="1"/>
    </xf>
    <xf numFmtId="0" fontId="11" fillId="5" borderId="99" xfId="4378" applyFont="1" applyFill="1" applyBorder="1" applyAlignment="1" applyProtection="1">
      <alignment horizontal="left" vertical="center" wrapText="1"/>
    </xf>
    <xf numFmtId="0" fontId="11" fillId="5" borderId="20" xfId="4378" applyFont="1" applyFill="1" applyBorder="1" applyAlignment="1" applyProtection="1">
      <alignment horizontal="left" vertical="center" wrapText="1"/>
    </xf>
    <xf numFmtId="0" fontId="11" fillId="5" borderId="62" xfId="4378" applyFont="1" applyFill="1" applyBorder="1" applyAlignment="1" applyProtection="1">
      <alignment vertical="center" wrapText="1"/>
    </xf>
    <xf numFmtId="0" fontId="11" fillId="5" borderId="99" xfId="4378" applyFont="1" applyFill="1" applyBorder="1" applyAlignment="1" applyProtection="1">
      <alignment vertical="center" wrapText="1"/>
    </xf>
    <xf numFmtId="0" fontId="11" fillId="5" borderId="20" xfId="4378" applyFont="1" applyFill="1" applyBorder="1" applyAlignment="1" applyProtection="1">
      <alignment vertical="center" wrapText="1"/>
    </xf>
    <xf numFmtId="0" fontId="8" fillId="5" borderId="3" xfId="4378" applyFont="1" applyFill="1" applyBorder="1" applyAlignment="1" applyProtection="1">
      <alignment horizontal="center" wrapText="1"/>
    </xf>
    <xf numFmtId="0" fontId="8" fillId="5" borderId="4" xfId="4378" applyFont="1" applyFill="1" applyBorder="1" applyAlignment="1" applyProtection="1">
      <alignment horizontal="center" wrapText="1"/>
    </xf>
    <xf numFmtId="0" fontId="8" fillId="5" borderId="5" xfId="4378" applyFont="1" applyFill="1" applyBorder="1" applyAlignment="1" applyProtection="1">
      <alignment horizontal="center" wrapText="1"/>
    </xf>
    <xf numFmtId="0" fontId="8" fillId="5" borderId="3" xfId="4378" applyFont="1" applyFill="1" applyBorder="1" applyAlignment="1" applyProtection="1">
      <alignment horizontal="left" wrapText="1"/>
    </xf>
    <xf numFmtId="0" fontId="8" fillId="5" borderId="4" xfId="4378" applyFont="1" applyFill="1" applyBorder="1" applyAlignment="1" applyProtection="1">
      <alignment horizontal="left" wrapText="1"/>
    </xf>
    <xf numFmtId="0" fontId="8" fillId="5" borderId="5" xfId="4378" applyFont="1" applyFill="1" applyBorder="1" applyAlignment="1" applyProtection="1">
      <alignment horizontal="left" wrapText="1"/>
    </xf>
  </cellXfs>
  <cellStyles count="7024">
    <cellStyle name="_ENPFinancialModel PBConsult 01-02-09 iii" xfId="212" xr:uid="{00000000-0005-0000-0000-000000000000}"/>
    <cellStyle name="_ENPFinancialModel PBConsult 01-02-09 iii 10" xfId="213" xr:uid="{00000000-0005-0000-0000-000001000000}"/>
    <cellStyle name="_ENPFinancialModel PBConsult 01-02-09 iii 11" xfId="214" xr:uid="{00000000-0005-0000-0000-000002000000}"/>
    <cellStyle name="_ENPFinancialModel PBConsult 01-02-09 iii 12" xfId="215" xr:uid="{00000000-0005-0000-0000-000003000000}"/>
    <cellStyle name="_ENPFinancialModel PBConsult 01-02-09 iii 13" xfId="216" xr:uid="{00000000-0005-0000-0000-000004000000}"/>
    <cellStyle name="_ENPFinancialModel PBConsult 01-02-09 iii 14" xfId="217" xr:uid="{00000000-0005-0000-0000-000005000000}"/>
    <cellStyle name="_ENPFinancialModel PBConsult 01-02-09 iii 15" xfId="218" xr:uid="{00000000-0005-0000-0000-000006000000}"/>
    <cellStyle name="_ENPFinancialModel PBConsult 01-02-09 iii 16" xfId="219" xr:uid="{00000000-0005-0000-0000-000007000000}"/>
    <cellStyle name="_ENPFinancialModel PBConsult 01-02-09 iii 17" xfId="220" xr:uid="{00000000-0005-0000-0000-000008000000}"/>
    <cellStyle name="_ENPFinancialModel PBConsult 01-02-09 iii 18" xfId="221" xr:uid="{00000000-0005-0000-0000-000009000000}"/>
    <cellStyle name="_ENPFinancialModel PBConsult 01-02-09 iii 19" xfId="222" xr:uid="{00000000-0005-0000-0000-00000A000000}"/>
    <cellStyle name="_ENPFinancialModel PBConsult 01-02-09 iii 2" xfId="223" xr:uid="{00000000-0005-0000-0000-00000B000000}"/>
    <cellStyle name="_ENPFinancialModel PBConsult 01-02-09 iii 20" xfId="224" xr:uid="{00000000-0005-0000-0000-00000C000000}"/>
    <cellStyle name="_ENPFinancialModel PBConsult 01-02-09 iii 21" xfId="225" xr:uid="{00000000-0005-0000-0000-00000D000000}"/>
    <cellStyle name="_ENPFinancialModel PBConsult 01-02-09 iii 22" xfId="226" xr:uid="{00000000-0005-0000-0000-00000E000000}"/>
    <cellStyle name="_ENPFinancialModel PBConsult 01-02-09 iii 23" xfId="227" xr:uid="{00000000-0005-0000-0000-00000F000000}"/>
    <cellStyle name="_ENPFinancialModel PBConsult 01-02-09 iii 24" xfId="228" xr:uid="{00000000-0005-0000-0000-000010000000}"/>
    <cellStyle name="_ENPFinancialModel PBConsult 01-02-09 iii 3" xfId="229" xr:uid="{00000000-0005-0000-0000-000011000000}"/>
    <cellStyle name="_ENPFinancialModel PBConsult 01-02-09 iii 4" xfId="230" xr:uid="{00000000-0005-0000-0000-000012000000}"/>
    <cellStyle name="_ENPFinancialModel PBConsult 01-02-09 iii 5" xfId="231" xr:uid="{00000000-0005-0000-0000-000013000000}"/>
    <cellStyle name="_ENPFinancialModel PBConsult 01-02-09 iii 6" xfId="232" xr:uid="{00000000-0005-0000-0000-000014000000}"/>
    <cellStyle name="_ENPFinancialModel PBConsult 01-02-09 iii 7" xfId="233" xr:uid="{00000000-0005-0000-0000-000015000000}"/>
    <cellStyle name="_ENPFinancialModel PBConsult 01-02-09 iii 8" xfId="234" xr:uid="{00000000-0005-0000-0000-000016000000}"/>
    <cellStyle name="_ENPFinancialModel PBConsult 01-02-09 iii 9" xfId="235" xr:uid="{00000000-0005-0000-0000-000017000000}"/>
    <cellStyle name="_IDB Puerto Cortes FinModel Feb 26_09 DF" xfId="236" xr:uid="{00000000-0005-0000-0000-000018000000}"/>
    <cellStyle name="_IDB Puerto Cortés FinModel PBConsult 02-9-09" xfId="237" xr:uid="{00000000-0005-0000-0000-000019000000}"/>
    <cellStyle name="_Project Harbour MLA Model Jan 26 2007(1)" xfId="238" xr:uid="{00000000-0005-0000-0000-00001A000000}"/>
    <cellStyle name="=C:\WINNT35\SYSTEM32\COMMAND.COM" xfId="239" xr:uid="{00000000-0005-0000-0000-00001B000000}"/>
    <cellStyle name="20% - Accent1" xfId="26" builtinId="30" customBuiltin="1"/>
    <cellStyle name="20% - Accent1 2" xfId="56" xr:uid="{00000000-0005-0000-0000-00001D000000}"/>
    <cellStyle name="20% - Accent1 2 10" xfId="240" xr:uid="{00000000-0005-0000-0000-00001E000000}"/>
    <cellStyle name="20% - Accent1 2 11" xfId="241" xr:uid="{00000000-0005-0000-0000-00001F000000}"/>
    <cellStyle name="20% - Accent1 2 12" xfId="242" xr:uid="{00000000-0005-0000-0000-000020000000}"/>
    <cellStyle name="20% - Accent1 2 13" xfId="243" xr:uid="{00000000-0005-0000-0000-000021000000}"/>
    <cellStyle name="20% - Accent1 2 14" xfId="244" xr:uid="{00000000-0005-0000-0000-000022000000}"/>
    <cellStyle name="20% - Accent1 2 15" xfId="245" xr:uid="{00000000-0005-0000-0000-000023000000}"/>
    <cellStyle name="20% - Accent1 2 16" xfId="246" xr:uid="{00000000-0005-0000-0000-000024000000}"/>
    <cellStyle name="20% - Accent1 2 17" xfId="247" xr:uid="{00000000-0005-0000-0000-000025000000}"/>
    <cellStyle name="20% - Accent1 2 18" xfId="248" xr:uid="{00000000-0005-0000-0000-000026000000}"/>
    <cellStyle name="20% - Accent1 2 19" xfId="249" xr:uid="{00000000-0005-0000-0000-000027000000}"/>
    <cellStyle name="20% - Accent1 2 2" xfId="250" xr:uid="{00000000-0005-0000-0000-000028000000}"/>
    <cellStyle name="20% - Accent1 2 2 2" xfId="251" xr:uid="{00000000-0005-0000-0000-000029000000}"/>
    <cellStyle name="20% - Accent1 2 2 2 2" xfId="252" xr:uid="{00000000-0005-0000-0000-00002A000000}"/>
    <cellStyle name="20% - Accent1 2 2 2 3" xfId="253" xr:uid="{00000000-0005-0000-0000-00002B000000}"/>
    <cellStyle name="20% - Accent1 2 2 2 4" xfId="254" xr:uid="{00000000-0005-0000-0000-00002C000000}"/>
    <cellStyle name="20% - Accent1 2 2 3" xfId="255" xr:uid="{00000000-0005-0000-0000-00002D000000}"/>
    <cellStyle name="20% - Accent1 2 2 3 2" xfId="256" xr:uid="{00000000-0005-0000-0000-00002E000000}"/>
    <cellStyle name="20% - Accent1 2 2 3 3" xfId="257" xr:uid="{00000000-0005-0000-0000-00002F000000}"/>
    <cellStyle name="20% - Accent1 2 2 4" xfId="258" xr:uid="{00000000-0005-0000-0000-000030000000}"/>
    <cellStyle name="20% - Accent1 2 3" xfId="259" xr:uid="{00000000-0005-0000-0000-000031000000}"/>
    <cellStyle name="20% - Accent1 2 3 2" xfId="260" xr:uid="{00000000-0005-0000-0000-000032000000}"/>
    <cellStyle name="20% - Accent1 2 3 3" xfId="261" xr:uid="{00000000-0005-0000-0000-000033000000}"/>
    <cellStyle name="20% - Accent1 2 4" xfId="262" xr:uid="{00000000-0005-0000-0000-000034000000}"/>
    <cellStyle name="20% - Accent1 2 5" xfId="263" xr:uid="{00000000-0005-0000-0000-000035000000}"/>
    <cellStyle name="20% - Accent1 2 6" xfId="264" xr:uid="{00000000-0005-0000-0000-000036000000}"/>
    <cellStyle name="20% - Accent1 2 7" xfId="265" xr:uid="{00000000-0005-0000-0000-000037000000}"/>
    <cellStyle name="20% - Accent1 2 8" xfId="266" xr:uid="{00000000-0005-0000-0000-000038000000}"/>
    <cellStyle name="20% - Accent1 2 9" xfId="267" xr:uid="{00000000-0005-0000-0000-000039000000}"/>
    <cellStyle name="20% - Accent1 3" xfId="268" xr:uid="{00000000-0005-0000-0000-00003A000000}"/>
    <cellStyle name="20% - Accent1 3 2" xfId="269" xr:uid="{00000000-0005-0000-0000-00003B000000}"/>
    <cellStyle name="20% - Accent1 3 3" xfId="270" xr:uid="{00000000-0005-0000-0000-00003C000000}"/>
    <cellStyle name="20% - Accent1 4" xfId="271" xr:uid="{00000000-0005-0000-0000-00003D000000}"/>
    <cellStyle name="20% - Accent2" xfId="30" builtinId="34" customBuiltin="1"/>
    <cellStyle name="20% - Accent2 2" xfId="57" xr:uid="{00000000-0005-0000-0000-00003F000000}"/>
    <cellStyle name="20% - Accent2 2 10" xfId="272" xr:uid="{00000000-0005-0000-0000-000040000000}"/>
    <cellStyle name="20% - Accent2 2 11" xfId="273" xr:uid="{00000000-0005-0000-0000-000041000000}"/>
    <cellStyle name="20% - Accent2 2 12" xfId="274" xr:uid="{00000000-0005-0000-0000-000042000000}"/>
    <cellStyle name="20% - Accent2 2 13" xfId="275" xr:uid="{00000000-0005-0000-0000-000043000000}"/>
    <cellStyle name="20% - Accent2 2 14" xfId="276" xr:uid="{00000000-0005-0000-0000-000044000000}"/>
    <cellStyle name="20% - Accent2 2 15" xfId="277" xr:uid="{00000000-0005-0000-0000-000045000000}"/>
    <cellStyle name="20% - Accent2 2 16" xfId="278" xr:uid="{00000000-0005-0000-0000-000046000000}"/>
    <cellStyle name="20% - Accent2 2 17" xfId="279" xr:uid="{00000000-0005-0000-0000-000047000000}"/>
    <cellStyle name="20% - Accent2 2 18" xfId="280" xr:uid="{00000000-0005-0000-0000-000048000000}"/>
    <cellStyle name="20% - Accent2 2 19" xfId="281" xr:uid="{00000000-0005-0000-0000-000049000000}"/>
    <cellStyle name="20% - Accent2 2 2" xfId="282" xr:uid="{00000000-0005-0000-0000-00004A000000}"/>
    <cellStyle name="20% - Accent2 2 2 2" xfId="283" xr:uid="{00000000-0005-0000-0000-00004B000000}"/>
    <cellStyle name="20% - Accent2 2 2 2 2" xfId="284" xr:uid="{00000000-0005-0000-0000-00004C000000}"/>
    <cellStyle name="20% - Accent2 2 2 2 3" xfId="285" xr:uid="{00000000-0005-0000-0000-00004D000000}"/>
    <cellStyle name="20% - Accent2 2 2 2 4" xfId="286" xr:uid="{00000000-0005-0000-0000-00004E000000}"/>
    <cellStyle name="20% - Accent2 2 2 3" xfId="287" xr:uid="{00000000-0005-0000-0000-00004F000000}"/>
    <cellStyle name="20% - Accent2 2 2 3 2" xfId="288" xr:uid="{00000000-0005-0000-0000-000050000000}"/>
    <cellStyle name="20% - Accent2 2 2 3 3" xfId="289" xr:uid="{00000000-0005-0000-0000-000051000000}"/>
    <cellStyle name="20% - Accent2 2 2 4" xfId="290" xr:uid="{00000000-0005-0000-0000-000052000000}"/>
    <cellStyle name="20% - Accent2 2 3" xfId="291" xr:uid="{00000000-0005-0000-0000-000053000000}"/>
    <cellStyle name="20% - Accent2 2 3 2" xfId="292" xr:uid="{00000000-0005-0000-0000-000054000000}"/>
    <cellStyle name="20% - Accent2 2 3 3" xfId="293" xr:uid="{00000000-0005-0000-0000-000055000000}"/>
    <cellStyle name="20% - Accent2 2 4" xfId="294" xr:uid="{00000000-0005-0000-0000-000056000000}"/>
    <cellStyle name="20% - Accent2 2 5" xfId="295" xr:uid="{00000000-0005-0000-0000-000057000000}"/>
    <cellStyle name="20% - Accent2 2 6" xfId="296" xr:uid="{00000000-0005-0000-0000-000058000000}"/>
    <cellStyle name="20% - Accent2 2 7" xfId="297" xr:uid="{00000000-0005-0000-0000-000059000000}"/>
    <cellStyle name="20% - Accent2 2 8" xfId="298" xr:uid="{00000000-0005-0000-0000-00005A000000}"/>
    <cellStyle name="20% - Accent2 2 9" xfId="299" xr:uid="{00000000-0005-0000-0000-00005B000000}"/>
    <cellStyle name="20% - Accent2 3" xfId="300" xr:uid="{00000000-0005-0000-0000-00005C000000}"/>
    <cellStyle name="20% - Accent2 3 2" xfId="301" xr:uid="{00000000-0005-0000-0000-00005D000000}"/>
    <cellStyle name="20% - Accent2 3 3" xfId="302" xr:uid="{00000000-0005-0000-0000-00005E000000}"/>
    <cellStyle name="20% - Accent2 4" xfId="303" xr:uid="{00000000-0005-0000-0000-00005F000000}"/>
    <cellStyle name="20% - Accent3" xfId="34" builtinId="38" customBuiltin="1"/>
    <cellStyle name="20% - Accent3 2" xfId="58" xr:uid="{00000000-0005-0000-0000-000061000000}"/>
    <cellStyle name="20% - Accent3 2 10" xfId="304" xr:uid="{00000000-0005-0000-0000-000062000000}"/>
    <cellStyle name="20% - Accent3 2 11" xfId="305" xr:uid="{00000000-0005-0000-0000-000063000000}"/>
    <cellStyle name="20% - Accent3 2 12" xfId="306" xr:uid="{00000000-0005-0000-0000-000064000000}"/>
    <cellStyle name="20% - Accent3 2 13" xfId="307" xr:uid="{00000000-0005-0000-0000-000065000000}"/>
    <cellStyle name="20% - Accent3 2 14" xfId="308" xr:uid="{00000000-0005-0000-0000-000066000000}"/>
    <cellStyle name="20% - Accent3 2 15" xfId="309" xr:uid="{00000000-0005-0000-0000-000067000000}"/>
    <cellStyle name="20% - Accent3 2 16" xfId="310" xr:uid="{00000000-0005-0000-0000-000068000000}"/>
    <cellStyle name="20% - Accent3 2 17" xfId="311" xr:uid="{00000000-0005-0000-0000-000069000000}"/>
    <cellStyle name="20% - Accent3 2 18" xfId="312" xr:uid="{00000000-0005-0000-0000-00006A000000}"/>
    <cellStyle name="20% - Accent3 2 19" xfId="313" xr:uid="{00000000-0005-0000-0000-00006B000000}"/>
    <cellStyle name="20% - Accent3 2 2" xfId="314" xr:uid="{00000000-0005-0000-0000-00006C000000}"/>
    <cellStyle name="20% - Accent3 2 2 2" xfId="315" xr:uid="{00000000-0005-0000-0000-00006D000000}"/>
    <cellStyle name="20% - Accent3 2 2 2 2" xfId="316" xr:uid="{00000000-0005-0000-0000-00006E000000}"/>
    <cellStyle name="20% - Accent3 2 2 2 3" xfId="317" xr:uid="{00000000-0005-0000-0000-00006F000000}"/>
    <cellStyle name="20% - Accent3 2 2 2 4" xfId="318" xr:uid="{00000000-0005-0000-0000-000070000000}"/>
    <cellStyle name="20% - Accent3 2 2 3" xfId="319" xr:uid="{00000000-0005-0000-0000-000071000000}"/>
    <cellStyle name="20% - Accent3 2 2 3 2" xfId="320" xr:uid="{00000000-0005-0000-0000-000072000000}"/>
    <cellStyle name="20% - Accent3 2 2 3 3" xfId="321" xr:uid="{00000000-0005-0000-0000-000073000000}"/>
    <cellStyle name="20% - Accent3 2 2 4" xfId="322" xr:uid="{00000000-0005-0000-0000-000074000000}"/>
    <cellStyle name="20% - Accent3 2 3" xfId="323" xr:uid="{00000000-0005-0000-0000-000075000000}"/>
    <cellStyle name="20% - Accent3 2 3 2" xfId="324" xr:uid="{00000000-0005-0000-0000-000076000000}"/>
    <cellStyle name="20% - Accent3 2 3 3" xfId="325" xr:uid="{00000000-0005-0000-0000-000077000000}"/>
    <cellStyle name="20% - Accent3 2 4" xfId="326" xr:uid="{00000000-0005-0000-0000-000078000000}"/>
    <cellStyle name="20% - Accent3 2 5" xfId="327" xr:uid="{00000000-0005-0000-0000-000079000000}"/>
    <cellStyle name="20% - Accent3 2 6" xfId="328" xr:uid="{00000000-0005-0000-0000-00007A000000}"/>
    <cellStyle name="20% - Accent3 2 7" xfId="329" xr:uid="{00000000-0005-0000-0000-00007B000000}"/>
    <cellStyle name="20% - Accent3 2 8" xfId="330" xr:uid="{00000000-0005-0000-0000-00007C000000}"/>
    <cellStyle name="20% - Accent3 2 9" xfId="331" xr:uid="{00000000-0005-0000-0000-00007D000000}"/>
    <cellStyle name="20% - Accent3 3" xfId="332" xr:uid="{00000000-0005-0000-0000-00007E000000}"/>
    <cellStyle name="20% - Accent3 3 2" xfId="333" xr:uid="{00000000-0005-0000-0000-00007F000000}"/>
    <cellStyle name="20% - Accent3 3 3" xfId="334" xr:uid="{00000000-0005-0000-0000-000080000000}"/>
    <cellStyle name="20% - Accent3 4" xfId="335" xr:uid="{00000000-0005-0000-0000-000081000000}"/>
    <cellStyle name="20% - Accent4" xfId="38" builtinId="42" customBuiltin="1"/>
    <cellStyle name="20% - Accent4 2" xfId="59" xr:uid="{00000000-0005-0000-0000-000083000000}"/>
    <cellStyle name="20% - Accent4 2 10" xfId="336" xr:uid="{00000000-0005-0000-0000-000084000000}"/>
    <cellStyle name="20% - Accent4 2 11" xfId="337" xr:uid="{00000000-0005-0000-0000-000085000000}"/>
    <cellStyle name="20% - Accent4 2 12" xfId="338" xr:uid="{00000000-0005-0000-0000-000086000000}"/>
    <cellStyle name="20% - Accent4 2 13" xfId="339" xr:uid="{00000000-0005-0000-0000-000087000000}"/>
    <cellStyle name="20% - Accent4 2 14" xfId="340" xr:uid="{00000000-0005-0000-0000-000088000000}"/>
    <cellStyle name="20% - Accent4 2 15" xfId="341" xr:uid="{00000000-0005-0000-0000-000089000000}"/>
    <cellStyle name="20% - Accent4 2 16" xfId="342" xr:uid="{00000000-0005-0000-0000-00008A000000}"/>
    <cellStyle name="20% - Accent4 2 17" xfId="343" xr:uid="{00000000-0005-0000-0000-00008B000000}"/>
    <cellStyle name="20% - Accent4 2 18" xfId="344" xr:uid="{00000000-0005-0000-0000-00008C000000}"/>
    <cellStyle name="20% - Accent4 2 19" xfId="345" xr:uid="{00000000-0005-0000-0000-00008D000000}"/>
    <cellStyle name="20% - Accent4 2 2" xfId="346" xr:uid="{00000000-0005-0000-0000-00008E000000}"/>
    <cellStyle name="20% - Accent4 2 2 2" xfId="347" xr:uid="{00000000-0005-0000-0000-00008F000000}"/>
    <cellStyle name="20% - Accent4 2 2 2 2" xfId="348" xr:uid="{00000000-0005-0000-0000-000090000000}"/>
    <cellStyle name="20% - Accent4 2 2 2 3" xfId="349" xr:uid="{00000000-0005-0000-0000-000091000000}"/>
    <cellStyle name="20% - Accent4 2 2 2 4" xfId="350" xr:uid="{00000000-0005-0000-0000-000092000000}"/>
    <cellStyle name="20% - Accent4 2 2 3" xfId="351" xr:uid="{00000000-0005-0000-0000-000093000000}"/>
    <cellStyle name="20% - Accent4 2 2 3 2" xfId="352" xr:uid="{00000000-0005-0000-0000-000094000000}"/>
    <cellStyle name="20% - Accent4 2 2 3 3" xfId="353" xr:uid="{00000000-0005-0000-0000-000095000000}"/>
    <cellStyle name="20% - Accent4 2 2 4" xfId="354" xr:uid="{00000000-0005-0000-0000-000096000000}"/>
    <cellStyle name="20% - Accent4 2 3" xfId="355" xr:uid="{00000000-0005-0000-0000-000097000000}"/>
    <cellStyle name="20% - Accent4 2 3 2" xfId="356" xr:uid="{00000000-0005-0000-0000-000098000000}"/>
    <cellStyle name="20% - Accent4 2 3 3" xfId="357" xr:uid="{00000000-0005-0000-0000-000099000000}"/>
    <cellStyle name="20% - Accent4 2 4" xfId="358" xr:uid="{00000000-0005-0000-0000-00009A000000}"/>
    <cellStyle name="20% - Accent4 2 5" xfId="359" xr:uid="{00000000-0005-0000-0000-00009B000000}"/>
    <cellStyle name="20% - Accent4 2 6" xfId="360" xr:uid="{00000000-0005-0000-0000-00009C000000}"/>
    <cellStyle name="20% - Accent4 2 7" xfId="361" xr:uid="{00000000-0005-0000-0000-00009D000000}"/>
    <cellStyle name="20% - Accent4 2 8" xfId="362" xr:uid="{00000000-0005-0000-0000-00009E000000}"/>
    <cellStyle name="20% - Accent4 2 9" xfId="363" xr:uid="{00000000-0005-0000-0000-00009F000000}"/>
    <cellStyle name="20% - Accent4 3" xfId="364" xr:uid="{00000000-0005-0000-0000-0000A0000000}"/>
    <cellStyle name="20% - Accent4 3 2" xfId="365" xr:uid="{00000000-0005-0000-0000-0000A1000000}"/>
    <cellStyle name="20% - Accent4 3 3" xfId="366" xr:uid="{00000000-0005-0000-0000-0000A2000000}"/>
    <cellStyle name="20% - Accent4 4" xfId="367" xr:uid="{00000000-0005-0000-0000-0000A3000000}"/>
    <cellStyle name="20% - Accent5" xfId="42" builtinId="46" customBuiltin="1"/>
    <cellStyle name="20% - Accent5 2" xfId="60" xr:uid="{00000000-0005-0000-0000-0000A5000000}"/>
    <cellStyle name="20% - Accent5 2 10" xfId="368" xr:uid="{00000000-0005-0000-0000-0000A6000000}"/>
    <cellStyle name="20% - Accent5 2 11" xfId="369" xr:uid="{00000000-0005-0000-0000-0000A7000000}"/>
    <cellStyle name="20% - Accent5 2 12" xfId="370" xr:uid="{00000000-0005-0000-0000-0000A8000000}"/>
    <cellStyle name="20% - Accent5 2 13" xfId="371" xr:uid="{00000000-0005-0000-0000-0000A9000000}"/>
    <cellStyle name="20% - Accent5 2 14" xfId="372" xr:uid="{00000000-0005-0000-0000-0000AA000000}"/>
    <cellStyle name="20% - Accent5 2 15" xfId="373" xr:uid="{00000000-0005-0000-0000-0000AB000000}"/>
    <cellStyle name="20% - Accent5 2 16" xfId="374" xr:uid="{00000000-0005-0000-0000-0000AC000000}"/>
    <cellStyle name="20% - Accent5 2 17" xfId="375" xr:uid="{00000000-0005-0000-0000-0000AD000000}"/>
    <cellStyle name="20% - Accent5 2 18" xfId="376" xr:uid="{00000000-0005-0000-0000-0000AE000000}"/>
    <cellStyle name="20% - Accent5 2 19" xfId="377" xr:uid="{00000000-0005-0000-0000-0000AF000000}"/>
    <cellStyle name="20% - Accent5 2 2" xfId="378" xr:uid="{00000000-0005-0000-0000-0000B0000000}"/>
    <cellStyle name="20% - Accent5 2 2 2" xfId="379" xr:uid="{00000000-0005-0000-0000-0000B1000000}"/>
    <cellStyle name="20% - Accent5 2 2 2 2" xfId="380" xr:uid="{00000000-0005-0000-0000-0000B2000000}"/>
    <cellStyle name="20% - Accent5 2 2 2 3" xfId="381" xr:uid="{00000000-0005-0000-0000-0000B3000000}"/>
    <cellStyle name="20% - Accent5 2 2 2 4" xfId="382" xr:uid="{00000000-0005-0000-0000-0000B4000000}"/>
    <cellStyle name="20% - Accent5 2 2 3" xfId="383" xr:uid="{00000000-0005-0000-0000-0000B5000000}"/>
    <cellStyle name="20% - Accent5 2 2 3 2" xfId="384" xr:uid="{00000000-0005-0000-0000-0000B6000000}"/>
    <cellStyle name="20% - Accent5 2 2 3 3" xfId="385" xr:uid="{00000000-0005-0000-0000-0000B7000000}"/>
    <cellStyle name="20% - Accent5 2 2 4" xfId="386" xr:uid="{00000000-0005-0000-0000-0000B8000000}"/>
    <cellStyle name="20% - Accent5 2 3" xfId="387" xr:uid="{00000000-0005-0000-0000-0000B9000000}"/>
    <cellStyle name="20% - Accent5 2 3 2" xfId="388" xr:uid="{00000000-0005-0000-0000-0000BA000000}"/>
    <cellStyle name="20% - Accent5 2 3 3" xfId="389" xr:uid="{00000000-0005-0000-0000-0000BB000000}"/>
    <cellStyle name="20% - Accent5 2 4" xfId="390" xr:uid="{00000000-0005-0000-0000-0000BC000000}"/>
    <cellStyle name="20% - Accent5 2 5" xfId="391" xr:uid="{00000000-0005-0000-0000-0000BD000000}"/>
    <cellStyle name="20% - Accent5 2 6" xfId="392" xr:uid="{00000000-0005-0000-0000-0000BE000000}"/>
    <cellStyle name="20% - Accent5 2 7" xfId="393" xr:uid="{00000000-0005-0000-0000-0000BF000000}"/>
    <cellStyle name="20% - Accent5 2 8" xfId="394" xr:uid="{00000000-0005-0000-0000-0000C0000000}"/>
    <cellStyle name="20% - Accent5 2 9" xfId="395" xr:uid="{00000000-0005-0000-0000-0000C1000000}"/>
    <cellStyle name="20% - Accent5 3" xfId="396" xr:uid="{00000000-0005-0000-0000-0000C2000000}"/>
    <cellStyle name="20% - Accent5 3 2" xfId="397" xr:uid="{00000000-0005-0000-0000-0000C3000000}"/>
    <cellStyle name="20% - Accent5 3 3" xfId="398" xr:uid="{00000000-0005-0000-0000-0000C4000000}"/>
    <cellStyle name="20% - Accent5 4" xfId="399" xr:uid="{00000000-0005-0000-0000-0000C5000000}"/>
    <cellStyle name="20% - Accent6" xfId="46" builtinId="50" customBuiltin="1"/>
    <cellStyle name="20% - Accent6 2" xfId="61" xr:uid="{00000000-0005-0000-0000-0000C7000000}"/>
    <cellStyle name="20% - Accent6 2 10" xfId="400" xr:uid="{00000000-0005-0000-0000-0000C8000000}"/>
    <cellStyle name="20% - Accent6 2 11" xfId="401" xr:uid="{00000000-0005-0000-0000-0000C9000000}"/>
    <cellStyle name="20% - Accent6 2 12" xfId="402" xr:uid="{00000000-0005-0000-0000-0000CA000000}"/>
    <cellStyle name="20% - Accent6 2 13" xfId="403" xr:uid="{00000000-0005-0000-0000-0000CB000000}"/>
    <cellStyle name="20% - Accent6 2 14" xfId="404" xr:uid="{00000000-0005-0000-0000-0000CC000000}"/>
    <cellStyle name="20% - Accent6 2 15" xfId="405" xr:uid="{00000000-0005-0000-0000-0000CD000000}"/>
    <cellStyle name="20% - Accent6 2 16" xfId="406" xr:uid="{00000000-0005-0000-0000-0000CE000000}"/>
    <cellStyle name="20% - Accent6 2 17" xfId="407" xr:uid="{00000000-0005-0000-0000-0000CF000000}"/>
    <cellStyle name="20% - Accent6 2 18" xfId="408" xr:uid="{00000000-0005-0000-0000-0000D0000000}"/>
    <cellStyle name="20% - Accent6 2 19" xfId="409" xr:uid="{00000000-0005-0000-0000-0000D1000000}"/>
    <cellStyle name="20% - Accent6 2 2" xfId="410" xr:uid="{00000000-0005-0000-0000-0000D2000000}"/>
    <cellStyle name="20% - Accent6 2 2 2" xfId="411" xr:uid="{00000000-0005-0000-0000-0000D3000000}"/>
    <cellStyle name="20% - Accent6 2 2 2 2" xfId="412" xr:uid="{00000000-0005-0000-0000-0000D4000000}"/>
    <cellStyle name="20% - Accent6 2 2 2 3" xfId="413" xr:uid="{00000000-0005-0000-0000-0000D5000000}"/>
    <cellStyle name="20% - Accent6 2 2 2 4" xfId="414" xr:uid="{00000000-0005-0000-0000-0000D6000000}"/>
    <cellStyle name="20% - Accent6 2 2 3" xfId="415" xr:uid="{00000000-0005-0000-0000-0000D7000000}"/>
    <cellStyle name="20% - Accent6 2 2 3 2" xfId="416" xr:uid="{00000000-0005-0000-0000-0000D8000000}"/>
    <cellStyle name="20% - Accent6 2 2 3 3" xfId="417" xr:uid="{00000000-0005-0000-0000-0000D9000000}"/>
    <cellStyle name="20% - Accent6 2 2 4" xfId="418" xr:uid="{00000000-0005-0000-0000-0000DA000000}"/>
    <cellStyle name="20% - Accent6 2 3" xfId="419" xr:uid="{00000000-0005-0000-0000-0000DB000000}"/>
    <cellStyle name="20% - Accent6 2 3 2" xfId="420" xr:uid="{00000000-0005-0000-0000-0000DC000000}"/>
    <cellStyle name="20% - Accent6 2 3 3" xfId="421" xr:uid="{00000000-0005-0000-0000-0000DD000000}"/>
    <cellStyle name="20% - Accent6 2 4" xfId="422" xr:uid="{00000000-0005-0000-0000-0000DE000000}"/>
    <cellStyle name="20% - Accent6 2 5" xfId="423" xr:uid="{00000000-0005-0000-0000-0000DF000000}"/>
    <cellStyle name="20% - Accent6 2 6" xfId="424" xr:uid="{00000000-0005-0000-0000-0000E0000000}"/>
    <cellStyle name="20% - Accent6 2 7" xfId="425" xr:uid="{00000000-0005-0000-0000-0000E1000000}"/>
    <cellStyle name="20% - Accent6 2 8" xfId="426" xr:uid="{00000000-0005-0000-0000-0000E2000000}"/>
    <cellStyle name="20% - Accent6 2 9" xfId="427" xr:uid="{00000000-0005-0000-0000-0000E3000000}"/>
    <cellStyle name="20% - Accent6 3" xfId="428" xr:uid="{00000000-0005-0000-0000-0000E4000000}"/>
    <cellStyle name="20% - Accent6 3 2" xfId="429" xr:uid="{00000000-0005-0000-0000-0000E5000000}"/>
    <cellStyle name="20% - Accent6 3 3" xfId="430" xr:uid="{00000000-0005-0000-0000-0000E6000000}"/>
    <cellStyle name="20% - Accent6 4" xfId="431" xr:uid="{00000000-0005-0000-0000-0000E7000000}"/>
    <cellStyle name="20% - Énfasis1" xfId="432" xr:uid="{00000000-0005-0000-0000-0000E8000000}"/>
    <cellStyle name="20% - Énfasis2" xfId="433" xr:uid="{00000000-0005-0000-0000-0000E9000000}"/>
    <cellStyle name="20% - Énfasis3" xfId="434" xr:uid="{00000000-0005-0000-0000-0000EA000000}"/>
    <cellStyle name="20% - Énfasis4" xfId="435" xr:uid="{00000000-0005-0000-0000-0000EB000000}"/>
    <cellStyle name="20% - Énfasis5" xfId="436" xr:uid="{00000000-0005-0000-0000-0000EC000000}"/>
    <cellStyle name="20% - Énfasis6" xfId="437" xr:uid="{00000000-0005-0000-0000-0000ED000000}"/>
    <cellStyle name="2x indented GHG Textfiels" xfId="62" xr:uid="{00000000-0005-0000-0000-0000EE000000}"/>
    <cellStyle name="40% - Accent1" xfId="27" builtinId="31" customBuiltin="1"/>
    <cellStyle name="40% - Accent1 2" xfId="63" xr:uid="{00000000-0005-0000-0000-0000F0000000}"/>
    <cellStyle name="40% - Accent1 2 10" xfId="438" xr:uid="{00000000-0005-0000-0000-0000F1000000}"/>
    <cellStyle name="40% - Accent1 2 11" xfId="439" xr:uid="{00000000-0005-0000-0000-0000F2000000}"/>
    <cellStyle name="40% - Accent1 2 12" xfId="440" xr:uid="{00000000-0005-0000-0000-0000F3000000}"/>
    <cellStyle name="40% - Accent1 2 13" xfId="441" xr:uid="{00000000-0005-0000-0000-0000F4000000}"/>
    <cellStyle name="40% - Accent1 2 14" xfId="442" xr:uid="{00000000-0005-0000-0000-0000F5000000}"/>
    <cellStyle name="40% - Accent1 2 15" xfId="443" xr:uid="{00000000-0005-0000-0000-0000F6000000}"/>
    <cellStyle name="40% - Accent1 2 16" xfId="444" xr:uid="{00000000-0005-0000-0000-0000F7000000}"/>
    <cellStyle name="40% - Accent1 2 17" xfId="445" xr:uid="{00000000-0005-0000-0000-0000F8000000}"/>
    <cellStyle name="40% - Accent1 2 18" xfId="446" xr:uid="{00000000-0005-0000-0000-0000F9000000}"/>
    <cellStyle name="40% - Accent1 2 19" xfId="447" xr:uid="{00000000-0005-0000-0000-0000FA000000}"/>
    <cellStyle name="40% - Accent1 2 2" xfId="448" xr:uid="{00000000-0005-0000-0000-0000FB000000}"/>
    <cellStyle name="40% - Accent1 2 2 2" xfId="449" xr:uid="{00000000-0005-0000-0000-0000FC000000}"/>
    <cellStyle name="40% - Accent1 2 2 2 2" xfId="450" xr:uid="{00000000-0005-0000-0000-0000FD000000}"/>
    <cellStyle name="40% - Accent1 2 2 2 3" xfId="451" xr:uid="{00000000-0005-0000-0000-0000FE000000}"/>
    <cellStyle name="40% - Accent1 2 2 2 4" xfId="452" xr:uid="{00000000-0005-0000-0000-0000FF000000}"/>
    <cellStyle name="40% - Accent1 2 2 3" xfId="453" xr:uid="{00000000-0005-0000-0000-000000010000}"/>
    <cellStyle name="40% - Accent1 2 2 3 2" xfId="454" xr:uid="{00000000-0005-0000-0000-000001010000}"/>
    <cellStyle name="40% - Accent1 2 2 3 3" xfId="455" xr:uid="{00000000-0005-0000-0000-000002010000}"/>
    <cellStyle name="40% - Accent1 2 2 4" xfId="456" xr:uid="{00000000-0005-0000-0000-000003010000}"/>
    <cellStyle name="40% - Accent1 2 3" xfId="457" xr:uid="{00000000-0005-0000-0000-000004010000}"/>
    <cellStyle name="40% - Accent1 2 3 2" xfId="458" xr:uid="{00000000-0005-0000-0000-000005010000}"/>
    <cellStyle name="40% - Accent1 2 3 3" xfId="459" xr:uid="{00000000-0005-0000-0000-000006010000}"/>
    <cellStyle name="40% - Accent1 2 4" xfId="460" xr:uid="{00000000-0005-0000-0000-000007010000}"/>
    <cellStyle name="40% - Accent1 2 5" xfId="461" xr:uid="{00000000-0005-0000-0000-000008010000}"/>
    <cellStyle name="40% - Accent1 2 6" xfId="462" xr:uid="{00000000-0005-0000-0000-000009010000}"/>
    <cellStyle name="40% - Accent1 2 7" xfId="463" xr:uid="{00000000-0005-0000-0000-00000A010000}"/>
    <cellStyle name="40% - Accent1 2 8" xfId="464" xr:uid="{00000000-0005-0000-0000-00000B010000}"/>
    <cellStyle name="40% - Accent1 2 9" xfId="465" xr:uid="{00000000-0005-0000-0000-00000C010000}"/>
    <cellStyle name="40% - Accent1 3" xfId="466" xr:uid="{00000000-0005-0000-0000-00000D010000}"/>
    <cellStyle name="40% - Accent1 3 2" xfId="467" xr:uid="{00000000-0005-0000-0000-00000E010000}"/>
    <cellStyle name="40% - Accent1 3 3" xfId="468" xr:uid="{00000000-0005-0000-0000-00000F010000}"/>
    <cellStyle name="40% - Accent1 4" xfId="469" xr:uid="{00000000-0005-0000-0000-000010010000}"/>
    <cellStyle name="40% - Accent2" xfId="31" builtinId="35" customBuiltin="1"/>
    <cellStyle name="40% - Accent2 2" xfId="64" xr:uid="{00000000-0005-0000-0000-000012010000}"/>
    <cellStyle name="40% - Accent2 2 10" xfId="470" xr:uid="{00000000-0005-0000-0000-000013010000}"/>
    <cellStyle name="40% - Accent2 2 11" xfId="471" xr:uid="{00000000-0005-0000-0000-000014010000}"/>
    <cellStyle name="40% - Accent2 2 12" xfId="472" xr:uid="{00000000-0005-0000-0000-000015010000}"/>
    <cellStyle name="40% - Accent2 2 13" xfId="473" xr:uid="{00000000-0005-0000-0000-000016010000}"/>
    <cellStyle name="40% - Accent2 2 14" xfId="474" xr:uid="{00000000-0005-0000-0000-000017010000}"/>
    <cellStyle name="40% - Accent2 2 15" xfId="475" xr:uid="{00000000-0005-0000-0000-000018010000}"/>
    <cellStyle name="40% - Accent2 2 16" xfId="476" xr:uid="{00000000-0005-0000-0000-000019010000}"/>
    <cellStyle name="40% - Accent2 2 17" xfId="477" xr:uid="{00000000-0005-0000-0000-00001A010000}"/>
    <cellStyle name="40% - Accent2 2 18" xfId="478" xr:uid="{00000000-0005-0000-0000-00001B010000}"/>
    <cellStyle name="40% - Accent2 2 19" xfId="479" xr:uid="{00000000-0005-0000-0000-00001C010000}"/>
    <cellStyle name="40% - Accent2 2 2" xfId="480" xr:uid="{00000000-0005-0000-0000-00001D010000}"/>
    <cellStyle name="40% - Accent2 2 2 2" xfId="481" xr:uid="{00000000-0005-0000-0000-00001E010000}"/>
    <cellStyle name="40% - Accent2 2 2 2 2" xfId="482" xr:uid="{00000000-0005-0000-0000-00001F010000}"/>
    <cellStyle name="40% - Accent2 2 2 2 3" xfId="483" xr:uid="{00000000-0005-0000-0000-000020010000}"/>
    <cellStyle name="40% - Accent2 2 2 2 4" xfId="484" xr:uid="{00000000-0005-0000-0000-000021010000}"/>
    <cellStyle name="40% - Accent2 2 2 3" xfId="485" xr:uid="{00000000-0005-0000-0000-000022010000}"/>
    <cellStyle name="40% - Accent2 2 2 3 2" xfId="486" xr:uid="{00000000-0005-0000-0000-000023010000}"/>
    <cellStyle name="40% - Accent2 2 2 3 3" xfId="487" xr:uid="{00000000-0005-0000-0000-000024010000}"/>
    <cellStyle name="40% - Accent2 2 2 4" xfId="488" xr:uid="{00000000-0005-0000-0000-000025010000}"/>
    <cellStyle name="40% - Accent2 2 3" xfId="489" xr:uid="{00000000-0005-0000-0000-000026010000}"/>
    <cellStyle name="40% - Accent2 2 3 2" xfId="490" xr:uid="{00000000-0005-0000-0000-000027010000}"/>
    <cellStyle name="40% - Accent2 2 3 3" xfId="491" xr:uid="{00000000-0005-0000-0000-000028010000}"/>
    <cellStyle name="40% - Accent2 2 4" xfId="492" xr:uid="{00000000-0005-0000-0000-000029010000}"/>
    <cellStyle name="40% - Accent2 2 5" xfId="493" xr:uid="{00000000-0005-0000-0000-00002A010000}"/>
    <cellStyle name="40% - Accent2 2 6" xfId="494" xr:uid="{00000000-0005-0000-0000-00002B010000}"/>
    <cellStyle name="40% - Accent2 2 7" xfId="495" xr:uid="{00000000-0005-0000-0000-00002C010000}"/>
    <cellStyle name="40% - Accent2 2 8" xfId="496" xr:uid="{00000000-0005-0000-0000-00002D010000}"/>
    <cellStyle name="40% - Accent2 2 9" xfId="497" xr:uid="{00000000-0005-0000-0000-00002E010000}"/>
    <cellStyle name="40% - Accent2 3" xfId="498" xr:uid="{00000000-0005-0000-0000-00002F010000}"/>
    <cellStyle name="40% - Accent2 3 2" xfId="499" xr:uid="{00000000-0005-0000-0000-000030010000}"/>
    <cellStyle name="40% - Accent2 3 3" xfId="500" xr:uid="{00000000-0005-0000-0000-000031010000}"/>
    <cellStyle name="40% - Accent2 4" xfId="501" xr:uid="{00000000-0005-0000-0000-000032010000}"/>
    <cellStyle name="40% - Accent3" xfId="35" builtinId="39" customBuiltin="1"/>
    <cellStyle name="40% - Accent3 2" xfId="65" xr:uid="{00000000-0005-0000-0000-000034010000}"/>
    <cellStyle name="40% - Accent3 2 10" xfId="502" xr:uid="{00000000-0005-0000-0000-000035010000}"/>
    <cellStyle name="40% - Accent3 2 11" xfId="503" xr:uid="{00000000-0005-0000-0000-000036010000}"/>
    <cellStyle name="40% - Accent3 2 12" xfId="504" xr:uid="{00000000-0005-0000-0000-000037010000}"/>
    <cellStyle name="40% - Accent3 2 13" xfId="505" xr:uid="{00000000-0005-0000-0000-000038010000}"/>
    <cellStyle name="40% - Accent3 2 14" xfId="506" xr:uid="{00000000-0005-0000-0000-000039010000}"/>
    <cellStyle name="40% - Accent3 2 15" xfId="507" xr:uid="{00000000-0005-0000-0000-00003A010000}"/>
    <cellStyle name="40% - Accent3 2 16" xfId="508" xr:uid="{00000000-0005-0000-0000-00003B010000}"/>
    <cellStyle name="40% - Accent3 2 17" xfId="509" xr:uid="{00000000-0005-0000-0000-00003C010000}"/>
    <cellStyle name="40% - Accent3 2 18" xfId="510" xr:uid="{00000000-0005-0000-0000-00003D010000}"/>
    <cellStyle name="40% - Accent3 2 19" xfId="511" xr:uid="{00000000-0005-0000-0000-00003E010000}"/>
    <cellStyle name="40% - Accent3 2 2" xfId="512" xr:uid="{00000000-0005-0000-0000-00003F010000}"/>
    <cellStyle name="40% - Accent3 2 2 2" xfId="513" xr:uid="{00000000-0005-0000-0000-000040010000}"/>
    <cellStyle name="40% - Accent3 2 2 2 2" xfId="514" xr:uid="{00000000-0005-0000-0000-000041010000}"/>
    <cellStyle name="40% - Accent3 2 2 2 3" xfId="515" xr:uid="{00000000-0005-0000-0000-000042010000}"/>
    <cellStyle name="40% - Accent3 2 2 2 4" xfId="516" xr:uid="{00000000-0005-0000-0000-000043010000}"/>
    <cellStyle name="40% - Accent3 2 2 3" xfId="517" xr:uid="{00000000-0005-0000-0000-000044010000}"/>
    <cellStyle name="40% - Accent3 2 2 3 2" xfId="518" xr:uid="{00000000-0005-0000-0000-000045010000}"/>
    <cellStyle name="40% - Accent3 2 2 3 3" xfId="519" xr:uid="{00000000-0005-0000-0000-000046010000}"/>
    <cellStyle name="40% - Accent3 2 2 4" xfId="520" xr:uid="{00000000-0005-0000-0000-000047010000}"/>
    <cellStyle name="40% - Accent3 2 3" xfId="521" xr:uid="{00000000-0005-0000-0000-000048010000}"/>
    <cellStyle name="40% - Accent3 2 3 2" xfId="522" xr:uid="{00000000-0005-0000-0000-000049010000}"/>
    <cellStyle name="40% - Accent3 2 3 3" xfId="523" xr:uid="{00000000-0005-0000-0000-00004A010000}"/>
    <cellStyle name="40% - Accent3 2 4" xfId="524" xr:uid="{00000000-0005-0000-0000-00004B010000}"/>
    <cellStyle name="40% - Accent3 2 5" xfId="525" xr:uid="{00000000-0005-0000-0000-00004C010000}"/>
    <cellStyle name="40% - Accent3 2 6" xfId="526" xr:uid="{00000000-0005-0000-0000-00004D010000}"/>
    <cellStyle name="40% - Accent3 2 7" xfId="527" xr:uid="{00000000-0005-0000-0000-00004E010000}"/>
    <cellStyle name="40% - Accent3 2 8" xfId="528" xr:uid="{00000000-0005-0000-0000-00004F010000}"/>
    <cellStyle name="40% - Accent3 2 9" xfId="529" xr:uid="{00000000-0005-0000-0000-000050010000}"/>
    <cellStyle name="40% - Accent3 3" xfId="530" xr:uid="{00000000-0005-0000-0000-000051010000}"/>
    <cellStyle name="40% - Accent3 3 2" xfId="531" xr:uid="{00000000-0005-0000-0000-000052010000}"/>
    <cellStyle name="40% - Accent3 3 3" xfId="532" xr:uid="{00000000-0005-0000-0000-000053010000}"/>
    <cellStyle name="40% - Accent3 4" xfId="533" xr:uid="{00000000-0005-0000-0000-000054010000}"/>
    <cellStyle name="40% - Accent4" xfId="39" builtinId="43" customBuiltin="1"/>
    <cellStyle name="40% - Accent4 2" xfId="66" xr:uid="{00000000-0005-0000-0000-000056010000}"/>
    <cellStyle name="40% - Accent4 2 10" xfId="534" xr:uid="{00000000-0005-0000-0000-000057010000}"/>
    <cellStyle name="40% - Accent4 2 11" xfId="535" xr:uid="{00000000-0005-0000-0000-000058010000}"/>
    <cellStyle name="40% - Accent4 2 12" xfId="536" xr:uid="{00000000-0005-0000-0000-000059010000}"/>
    <cellStyle name="40% - Accent4 2 13" xfId="537" xr:uid="{00000000-0005-0000-0000-00005A010000}"/>
    <cellStyle name="40% - Accent4 2 14" xfId="538" xr:uid="{00000000-0005-0000-0000-00005B010000}"/>
    <cellStyle name="40% - Accent4 2 15" xfId="539" xr:uid="{00000000-0005-0000-0000-00005C010000}"/>
    <cellStyle name="40% - Accent4 2 16" xfId="540" xr:uid="{00000000-0005-0000-0000-00005D010000}"/>
    <cellStyle name="40% - Accent4 2 17" xfId="541" xr:uid="{00000000-0005-0000-0000-00005E010000}"/>
    <cellStyle name="40% - Accent4 2 18" xfId="542" xr:uid="{00000000-0005-0000-0000-00005F010000}"/>
    <cellStyle name="40% - Accent4 2 19" xfId="543" xr:uid="{00000000-0005-0000-0000-000060010000}"/>
    <cellStyle name="40% - Accent4 2 2" xfId="544" xr:uid="{00000000-0005-0000-0000-000061010000}"/>
    <cellStyle name="40% - Accent4 2 2 2" xfId="545" xr:uid="{00000000-0005-0000-0000-000062010000}"/>
    <cellStyle name="40% - Accent4 2 2 2 2" xfId="546" xr:uid="{00000000-0005-0000-0000-000063010000}"/>
    <cellStyle name="40% - Accent4 2 2 2 3" xfId="547" xr:uid="{00000000-0005-0000-0000-000064010000}"/>
    <cellStyle name="40% - Accent4 2 2 2 4" xfId="548" xr:uid="{00000000-0005-0000-0000-000065010000}"/>
    <cellStyle name="40% - Accent4 2 2 3" xfId="549" xr:uid="{00000000-0005-0000-0000-000066010000}"/>
    <cellStyle name="40% - Accent4 2 2 3 2" xfId="550" xr:uid="{00000000-0005-0000-0000-000067010000}"/>
    <cellStyle name="40% - Accent4 2 2 3 3" xfId="551" xr:uid="{00000000-0005-0000-0000-000068010000}"/>
    <cellStyle name="40% - Accent4 2 2 4" xfId="552" xr:uid="{00000000-0005-0000-0000-000069010000}"/>
    <cellStyle name="40% - Accent4 2 3" xfId="553" xr:uid="{00000000-0005-0000-0000-00006A010000}"/>
    <cellStyle name="40% - Accent4 2 3 2" xfId="554" xr:uid="{00000000-0005-0000-0000-00006B010000}"/>
    <cellStyle name="40% - Accent4 2 3 3" xfId="555" xr:uid="{00000000-0005-0000-0000-00006C010000}"/>
    <cellStyle name="40% - Accent4 2 4" xfId="556" xr:uid="{00000000-0005-0000-0000-00006D010000}"/>
    <cellStyle name="40% - Accent4 2 5" xfId="557" xr:uid="{00000000-0005-0000-0000-00006E010000}"/>
    <cellStyle name="40% - Accent4 2 6" xfId="558" xr:uid="{00000000-0005-0000-0000-00006F010000}"/>
    <cellStyle name="40% - Accent4 2 7" xfId="559" xr:uid="{00000000-0005-0000-0000-000070010000}"/>
    <cellStyle name="40% - Accent4 2 8" xfId="560" xr:uid="{00000000-0005-0000-0000-000071010000}"/>
    <cellStyle name="40% - Accent4 2 9" xfId="561" xr:uid="{00000000-0005-0000-0000-000072010000}"/>
    <cellStyle name="40% - Accent4 3" xfId="562" xr:uid="{00000000-0005-0000-0000-000073010000}"/>
    <cellStyle name="40% - Accent4 3 2" xfId="563" xr:uid="{00000000-0005-0000-0000-000074010000}"/>
    <cellStyle name="40% - Accent4 3 3" xfId="564" xr:uid="{00000000-0005-0000-0000-000075010000}"/>
    <cellStyle name="40% - Accent4 4" xfId="565" xr:uid="{00000000-0005-0000-0000-000076010000}"/>
    <cellStyle name="40% - Accent5" xfId="43" builtinId="47" customBuiltin="1"/>
    <cellStyle name="40% - Accent5 2" xfId="67" xr:uid="{00000000-0005-0000-0000-000078010000}"/>
    <cellStyle name="40% - Accent5 2 10" xfId="566" xr:uid="{00000000-0005-0000-0000-000079010000}"/>
    <cellStyle name="40% - Accent5 2 11" xfId="567" xr:uid="{00000000-0005-0000-0000-00007A010000}"/>
    <cellStyle name="40% - Accent5 2 12" xfId="568" xr:uid="{00000000-0005-0000-0000-00007B010000}"/>
    <cellStyle name="40% - Accent5 2 13" xfId="569" xr:uid="{00000000-0005-0000-0000-00007C010000}"/>
    <cellStyle name="40% - Accent5 2 14" xfId="570" xr:uid="{00000000-0005-0000-0000-00007D010000}"/>
    <cellStyle name="40% - Accent5 2 15" xfId="571" xr:uid="{00000000-0005-0000-0000-00007E010000}"/>
    <cellStyle name="40% - Accent5 2 16" xfId="572" xr:uid="{00000000-0005-0000-0000-00007F010000}"/>
    <cellStyle name="40% - Accent5 2 17" xfId="573" xr:uid="{00000000-0005-0000-0000-000080010000}"/>
    <cellStyle name="40% - Accent5 2 18" xfId="574" xr:uid="{00000000-0005-0000-0000-000081010000}"/>
    <cellStyle name="40% - Accent5 2 19" xfId="575" xr:uid="{00000000-0005-0000-0000-000082010000}"/>
    <cellStyle name="40% - Accent5 2 2" xfId="576" xr:uid="{00000000-0005-0000-0000-000083010000}"/>
    <cellStyle name="40% - Accent5 2 2 2" xfId="577" xr:uid="{00000000-0005-0000-0000-000084010000}"/>
    <cellStyle name="40% - Accent5 2 2 2 2" xfId="578" xr:uid="{00000000-0005-0000-0000-000085010000}"/>
    <cellStyle name="40% - Accent5 2 2 2 3" xfId="579" xr:uid="{00000000-0005-0000-0000-000086010000}"/>
    <cellStyle name="40% - Accent5 2 2 2 4" xfId="580" xr:uid="{00000000-0005-0000-0000-000087010000}"/>
    <cellStyle name="40% - Accent5 2 2 3" xfId="581" xr:uid="{00000000-0005-0000-0000-000088010000}"/>
    <cellStyle name="40% - Accent5 2 2 3 2" xfId="582" xr:uid="{00000000-0005-0000-0000-000089010000}"/>
    <cellStyle name="40% - Accent5 2 2 3 3" xfId="583" xr:uid="{00000000-0005-0000-0000-00008A010000}"/>
    <cellStyle name="40% - Accent5 2 2 4" xfId="584" xr:uid="{00000000-0005-0000-0000-00008B010000}"/>
    <cellStyle name="40% - Accent5 2 3" xfId="585" xr:uid="{00000000-0005-0000-0000-00008C010000}"/>
    <cellStyle name="40% - Accent5 2 3 2" xfId="586" xr:uid="{00000000-0005-0000-0000-00008D010000}"/>
    <cellStyle name="40% - Accent5 2 3 3" xfId="587" xr:uid="{00000000-0005-0000-0000-00008E010000}"/>
    <cellStyle name="40% - Accent5 2 4" xfId="588" xr:uid="{00000000-0005-0000-0000-00008F010000}"/>
    <cellStyle name="40% - Accent5 2 5" xfId="589" xr:uid="{00000000-0005-0000-0000-000090010000}"/>
    <cellStyle name="40% - Accent5 2 6" xfId="590" xr:uid="{00000000-0005-0000-0000-000091010000}"/>
    <cellStyle name="40% - Accent5 2 7" xfId="591" xr:uid="{00000000-0005-0000-0000-000092010000}"/>
    <cellStyle name="40% - Accent5 2 8" xfId="592" xr:uid="{00000000-0005-0000-0000-000093010000}"/>
    <cellStyle name="40% - Accent5 2 9" xfId="593" xr:uid="{00000000-0005-0000-0000-000094010000}"/>
    <cellStyle name="40% - Accent5 3" xfId="594" xr:uid="{00000000-0005-0000-0000-000095010000}"/>
    <cellStyle name="40% - Accent5 3 2" xfId="595" xr:uid="{00000000-0005-0000-0000-000096010000}"/>
    <cellStyle name="40% - Accent5 3 3" xfId="596" xr:uid="{00000000-0005-0000-0000-000097010000}"/>
    <cellStyle name="40% - Accent5 4" xfId="597" xr:uid="{00000000-0005-0000-0000-000098010000}"/>
    <cellStyle name="40% - Accent6" xfId="47" builtinId="51" customBuiltin="1"/>
    <cellStyle name="40% - Accent6 2" xfId="68" xr:uid="{00000000-0005-0000-0000-00009A010000}"/>
    <cellStyle name="40% - Accent6 2 10" xfId="598" xr:uid="{00000000-0005-0000-0000-00009B010000}"/>
    <cellStyle name="40% - Accent6 2 11" xfId="599" xr:uid="{00000000-0005-0000-0000-00009C010000}"/>
    <cellStyle name="40% - Accent6 2 12" xfId="600" xr:uid="{00000000-0005-0000-0000-00009D010000}"/>
    <cellStyle name="40% - Accent6 2 13" xfId="601" xr:uid="{00000000-0005-0000-0000-00009E010000}"/>
    <cellStyle name="40% - Accent6 2 14" xfId="602" xr:uid="{00000000-0005-0000-0000-00009F010000}"/>
    <cellStyle name="40% - Accent6 2 15" xfId="603" xr:uid="{00000000-0005-0000-0000-0000A0010000}"/>
    <cellStyle name="40% - Accent6 2 16" xfId="604" xr:uid="{00000000-0005-0000-0000-0000A1010000}"/>
    <cellStyle name="40% - Accent6 2 17" xfId="605" xr:uid="{00000000-0005-0000-0000-0000A2010000}"/>
    <cellStyle name="40% - Accent6 2 18" xfId="606" xr:uid="{00000000-0005-0000-0000-0000A3010000}"/>
    <cellStyle name="40% - Accent6 2 19" xfId="607" xr:uid="{00000000-0005-0000-0000-0000A4010000}"/>
    <cellStyle name="40% - Accent6 2 2" xfId="608" xr:uid="{00000000-0005-0000-0000-0000A5010000}"/>
    <cellStyle name="40% - Accent6 2 2 2" xfId="609" xr:uid="{00000000-0005-0000-0000-0000A6010000}"/>
    <cellStyle name="40% - Accent6 2 2 2 2" xfId="610" xr:uid="{00000000-0005-0000-0000-0000A7010000}"/>
    <cellStyle name="40% - Accent6 2 2 2 3" xfId="611" xr:uid="{00000000-0005-0000-0000-0000A8010000}"/>
    <cellStyle name="40% - Accent6 2 2 2 4" xfId="612" xr:uid="{00000000-0005-0000-0000-0000A9010000}"/>
    <cellStyle name="40% - Accent6 2 2 3" xfId="613" xr:uid="{00000000-0005-0000-0000-0000AA010000}"/>
    <cellStyle name="40% - Accent6 2 2 3 2" xfId="614" xr:uid="{00000000-0005-0000-0000-0000AB010000}"/>
    <cellStyle name="40% - Accent6 2 2 3 3" xfId="615" xr:uid="{00000000-0005-0000-0000-0000AC010000}"/>
    <cellStyle name="40% - Accent6 2 2 4" xfId="616" xr:uid="{00000000-0005-0000-0000-0000AD010000}"/>
    <cellStyle name="40% - Accent6 2 3" xfId="617" xr:uid="{00000000-0005-0000-0000-0000AE010000}"/>
    <cellStyle name="40% - Accent6 2 3 2" xfId="618" xr:uid="{00000000-0005-0000-0000-0000AF010000}"/>
    <cellStyle name="40% - Accent6 2 3 3" xfId="619" xr:uid="{00000000-0005-0000-0000-0000B0010000}"/>
    <cellStyle name="40% - Accent6 2 4" xfId="620" xr:uid="{00000000-0005-0000-0000-0000B1010000}"/>
    <cellStyle name="40% - Accent6 2 5" xfId="621" xr:uid="{00000000-0005-0000-0000-0000B2010000}"/>
    <cellStyle name="40% - Accent6 2 6" xfId="622" xr:uid="{00000000-0005-0000-0000-0000B3010000}"/>
    <cellStyle name="40% - Accent6 2 7" xfId="623" xr:uid="{00000000-0005-0000-0000-0000B4010000}"/>
    <cellStyle name="40% - Accent6 2 8" xfId="624" xr:uid="{00000000-0005-0000-0000-0000B5010000}"/>
    <cellStyle name="40% - Accent6 2 9" xfId="625" xr:uid="{00000000-0005-0000-0000-0000B6010000}"/>
    <cellStyle name="40% - Accent6 3" xfId="626" xr:uid="{00000000-0005-0000-0000-0000B7010000}"/>
    <cellStyle name="40% - Accent6 3 2" xfId="627" xr:uid="{00000000-0005-0000-0000-0000B8010000}"/>
    <cellStyle name="40% - Accent6 3 3" xfId="628" xr:uid="{00000000-0005-0000-0000-0000B9010000}"/>
    <cellStyle name="40% - Accent6 4" xfId="629" xr:uid="{00000000-0005-0000-0000-0000BA010000}"/>
    <cellStyle name="40% - Énfasis1" xfId="630" xr:uid="{00000000-0005-0000-0000-0000BB010000}"/>
    <cellStyle name="40% - Énfasis2" xfId="631" xr:uid="{00000000-0005-0000-0000-0000BC010000}"/>
    <cellStyle name="40% - Énfasis3" xfId="632" xr:uid="{00000000-0005-0000-0000-0000BD010000}"/>
    <cellStyle name="40% - Énfasis4" xfId="633" xr:uid="{00000000-0005-0000-0000-0000BE010000}"/>
    <cellStyle name="40% - Énfasis5" xfId="634" xr:uid="{00000000-0005-0000-0000-0000BF010000}"/>
    <cellStyle name="40% - Énfasis6" xfId="635" xr:uid="{00000000-0005-0000-0000-0000C0010000}"/>
    <cellStyle name="5x indented GHG Textfiels" xfId="69" xr:uid="{00000000-0005-0000-0000-0000C1010000}"/>
    <cellStyle name="60% - Accent1" xfId="28" builtinId="32" customBuiltin="1"/>
    <cellStyle name="60% - Accent1 2" xfId="70" xr:uid="{00000000-0005-0000-0000-0000C3010000}"/>
    <cellStyle name="60% - Accent1 2 10" xfId="636" xr:uid="{00000000-0005-0000-0000-0000C4010000}"/>
    <cellStyle name="60% - Accent1 2 11" xfId="637" xr:uid="{00000000-0005-0000-0000-0000C5010000}"/>
    <cellStyle name="60% - Accent1 2 12" xfId="638" xr:uid="{00000000-0005-0000-0000-0000C6010000}"/>
    <cellStyle name="60% - Accent1 2 13" xfId="639" xr:uid="{00000000-0005-0000-0000-0000C7010000}"/>
    <cellStyle name="60% - Accent1 2 14" xfId="640" xr:uid="{00000000-0005-0000-0000-0000C8010000}"/>
    <cellStyle name="60% - Accent1 2 15" xfId="641" xr:uid="{00000000-0005-0000-0000-0000C9010000}"/>
    <cellStyle name="60% - Accent1 2 16" xfId="642" xr:uid="{00000000-0005-0000-0000-0000CA010000}"/>
    <cellStyle name="60% - Accent1 2 17" xfId="643" xr:uid="{00000000-0005-0000-0000-0000CB010000}"/>
    <cellStyle name="60% - Accent1 2 2" xfId="644" xr:uid="{00000000-0005-0000-0000-0000CC010000}"/>
    <cellStyle name="60% - Accent1 2 2 2" xfId="645" xr:uid="{00000000-0005-0000-0000-0000CD010000}"/>
    <cellStyle name="60% - Accent1 2 2 2 2" xfId="646" xr:uid="{00000000-0005-0000-0000-0000CE010000}"/>
    <cellStyle name="60% - Accent1 2 2 2 3" xfId="647" xr:uid="{00000000-0005-0000-0000-0000CF010000}"/>
    <cellStyle name="60% - Accent1 2 2 3" xfId="648" xr:uid="{00000000-0005-0000-0000-0000D0010000}"/>
    <cellStyle name="60% - Accent1 2 2 4" xfId="649" xr:uid="{00000000-0005-0000-0000-0000D1010000}"/>
    <cellStyle name="60% - Accent1 2 3" xfId="650" xr:uid="{00000000-0005-0000-0000-0000D2010000}"/>
    <cellStyle name="60% - Accent1 2 4" xfId="651" xr:uid="{00000000-0005-0000-0000-0000D3010000}"/>
    <cellStyle name="60% - Accent1 2 5" xfId="652" xr:uid="{00000000-0005-0000-0000-0000D4010000}"/>
    <cellStyle name="60% - Accent1 2 6" xfId="653" xr:uid="{00000000-0005-0000-0000-0000D5010000}"/>
    <cellStyle name="60% - Accent1 2 7" xfId="654" xr:uid="{00000000-0005-0000-0000-0000D6010000}"/>
    <cellStyle name="60% - Accent1 2 8" xfId="655" xr:uid="{00000000-0005-0000-0000-0000D7010000}"/>
    <cellStyle name="60% - Accent1 2 9" xfId="656" xr:uid="{00000000-0005-0000-0000-0000D8010000}"/>
    <cellStyle name="60% - Accent1 3" xfId="657" xr:uid="{00000000-0005-0000-0000-0000D9010000}"/>
    <cellStyle name="60% - Accent1 3 2" xfId="658" xr:uid="{00000000-0005-0000-0000-0000DA010000}"/>
    <cellStyle name="60% - Accent1 3 3" xfId="659" xr:uid="{00000000-0005-0000-0000-0000DB010000}"/>
    <cellStyle name="60% - Accent1 4" xfId="660" xr:uid="{00000000-0005-0000-0000-0000DC010000}"/>
    <cellStyle name="60% - Accent2" xfId="32" builtinId="36" customBuiltin="1"/>
    <cellStyle name="60% - Accent2 2" xfId="71" xr:uid="{00000000-0005-0000-0000-0000DE010000}"/>
    <cellStyle name="60% - Accent2 2 10" xfId="661" xr:uid="{00000000-0005-0000-0000-0000DF010000}"/>
    <cellStyle name="60% - Accent2 2 11" xfId="662" xr:uid="{00000000-0005-0000-0000-0000E0010000}"/>
    <cellStyle name="60% - Accent2 2 12" xfId="663" xr:uid="{00000000-0005-0000-0000-0000E1010000}"/>
    <cellStyle name="60% - Accent2 2 13" xfId="664" xr:uid="{00000000-0005-0000-0000-0000E2010000}"/>
    <cellStyle name="60% - Accent2 2 14" xfId="665" xr:uid="{00000000-0005-0000-0000-0000E3010000}"/>
    <cellStyle name="60% - Accent2 2 15" xfId="666" xr:uid="{00000000-0005-0000-0000-0000E4010000}"/>
    <cellStyle name="60% - Accent2 2 16" xfId="667" xr:uid="{00000000-0005-0000-0000-0000E5010000}"/>
    <cellStyle name="60% - Accent2 2 17" xfId="668" xr:uid="{00000000-0005-0000-0000-0000E6010000}"/>
    <cellStyle name="60% - Accent2 2 2" xfId="669" xr:uid="{00000000-0005-0000-0000-0000E7010000}"/>
    <cellStyle name="60% - Accent2 2 2 2" xfId="670" xr:uid="{00000000-0005-0000-0000-0000E8010000}"/>
    <cellStyle name="60% - Accent2 2 2 2 2" xfId="671" xr:uid="{00000000-0005-0000-0000-0000E9010000}"/>
    <cellStyle name="60% - Accent2 2 2 2 3" xfId="672" xr:uid="{00000000-0005-0000-0000-0000EA010000}"/>
    <cellStyle name="60% - Accent2 2 2 3" xfId="673" xr:uid="{00000000-0005-0000-0000-0000EB010000}"/>
    <cellStyle name="60% - Accent2 2 2 4" xfId="674" xr:uid="{00000000-0005-0000-0000-0000EC010000}"/>
    <cellStyle name="60% - Accent2 2 3" xfId="675" xr:uid="{00000000-0005-0000-0000-0000ED010000}"/>
    <cellStyle name="60% - Accent2 2 4" xfId="676" xr:uid="{00000000-0005-0000-0000-0000EE010000}"/>
    <cellStyle name="60% - Accent2 2 5" xfId="677" xr:uid="{00000000-0005-0000-0000-0000EF010000}"/>
    <cellStyle name="60% - Accent2 2 6" xfId="678" xr:uid="{00000000-0005-0000-0000-0000F0010000}"/>
    <cellStyle name="60% - Accent2 2 7" xfId="679" xr:uid="{00000000-0005-0000-0000-0000F1010000}"/>
    <cellStyle name="60% - Accent2 2 8" xfId="680" xr:uid="{00000000-0005-0000-0000-0000F2010000}"/>
    <cellStyle name="60% - Accent2 2 9" xfId="681" xr:uid="{00000000-0005-0000-0000-0000F3010000}"/>
    <cellStyle name="60% - Accent2 3" xfId="682" xr:uid="{00000000-0005-0000-0000-0000F4010000}"/>
    <cellStyle name="60% - Accent2 3 2" xfId="683" xr:uid="{00000000-0005-0000-0000-0000F5010000}"/>
    <cellStyle name="60% - Accent2 3 3" xfId="684" xr:uid="{00000000-0005-0000-0000-0000F6010000}"/>
    <cellStyle name="60% - Accent2 4" xfId="685" xr:uid="{00000000-0005-0000-0000-0000F7010000}"/>
    <cellStyle name="60% - Accent3" xfId="36" builtinId="40" customBuiltin="1"/>
    <cellStyle name="60% - Accent3 2" xfId="72" xr:uid="{00000000-0005-0000-0000-0000F9010000}"/>
    <cellStyle name="60% - Accent3 2 10" xfId="686" xr:uid="{00000000-0005-0000-0000-0000FA010000}"/>
    <cellStyle name="60% - Accent3 2 11" xfId="687" xr:uid="{00000000-0005-0000-0000-0000FB010000}"/>
    <cellStyle name="60% - Accent3 2 12" xfId="688" xr:uid="{00000000-0005-0000-0000-0000FC010000}"/>
    <cellStyle name="60% - Accent3 2 13" xfId="689" xr:uid="{00000000-0005-0000-0000-0000FD010000}"/>
    <cellStyle name="60% - Accent3 2 14" xfId="690" xr:uid="{00000000-0005-0000-0000-0000FE010000}"/>
    <cellStyle name="60% - Accent3 2 15" xfId="691" xr:uid="{00000000-0005-0000-0000-0000FF010000}"/>
    <cellStyle name="60% - Accent3 2 16" xfId="692" xr:uid="{00000000-0005-0000-0000-000000020000}"/>
    <cellStyle name="60% - Accent3 2 17" xfId="693" xr:uid="{00000000-0005-0000-0000-000001020000}"/>
    <cellStyle name="60% - Accent3 2 2" xfId="694" xr:uid="{00000000-0005-0000-0000-000002020000}"/>
    <cellStyle name="60% - Accent3 2 2 2" xfId="695" xr:uid="{00000000-0005-0000-0000-000003020000}"/>
    <cellStyle name="60% - Accent3 2 2 2 2" xfId="696" xr:uid="{00000000-0005-0000-0000-000004020000}"/>
    <cellStyle name="60% - Accent3 2 2 2 3" xfId="697" xr:uid="{00000000-0005-0000-0000-000005020000}"/>
    <cellStyle name="60% - Accent3 2 2 3" xfId="698" xr:uid="{00000000-0005-0000-0000-000006020000}"/>
    <cellStyle name="60% - Accent3 2 2 4" xfId="699" xr:uid="{00000000-0005-0000-0000-000007020000}"/>
    <cellStyle name="60% - Accent3 2 3" xfId="700" xr:uid="{00000000-0005-0000-0000-000008020000}"/>
    <cellStyle name="60% - Accent3 2 4" xfId="701" xr:uid="{00000000-0005-0000-0000-000009020000}"/>
    <cellStyle name="60% - Accent3 2 5" xfId="702" xr:uid="{00000000-0005-0000-0000-00000A020000}"/>
    <cellStyle name="60% - Accent3 2 6" xfId="703" xr:uid="{00000000-0005-0000-0000-00000B020000}"/>
    <cellStyle name="60% - Accent3 2 7" xfId="704" xr:uid="{00000000-0005-0000-0000-00000C020000}"/>
    <cellStyle name="60% - Accent3 2 8" xfId="705" xr:uid="{00000000-0005-0000-0000-00000D020000}"/>
    <cellStyle name="60% - Accent3 2 9" xfId="706" xr:uid="{00000000-0005-0000-0000-00000E020000}"/>
    <cellStyle name="60% - Accent3 3" xfId="707" xr:uid="{00000000-0005-0000-0000-00000F020000}"/>
    <cellStyle name="60% - Accent3 3 2" xfId="708" xr:uid="{00000000-0005-0000-0000-000010020000}"/>
    <cellStyle name="60% - Accent3 3 3" xfId="709" xr:uid="{00000000-0005-0000-0000-000011020000}"/>
    <cellStyle name="60% - Accent3 4" xfId="710" xr:uid="{00000000-0005-0000-0000-000012020000}"/>
    <cellStyle name="60% - Accent4" xfId="40" builtinId="44" customBuiltin="1"/>
    <cellStyle name="60% - Accent4 2" xfId="73" xr:uid="{00000000-0005-0000-0000-000014020000}"/>
    <cellStyle name="60% - Accent4 2 10" xfId="711" xr:uid="{00000000-0005-0000-0000-000015020000}"/>
    <cellStyle name="60% - Accent4 2 11" xfId="712" xr:uid="{00000000-0005-0000-0000-000016020000}"/>
    <cellStyle name="60% - Accent4 2 12" xfId="713" xr:uid="{00000000-0005-0000-0000-000017020000}"/>
    <cellStyle name="60% - Accent4 2 13" xfId="714" xr:uid="{00000000-0005-0000-0000-000018020000}"/>
    <cellStyle name="60% - Accent4 2 14" xfId="715" xr:uid="{00000000-0005-0000-0000-000019020000}"/>
    <cellStyle name="60% - Accent4 2 15" xfId="716" xr:uid="{00000000-0005-0000-0000-00001A020000}"/>
    <cellStyle name="60% - Accent4 2 16" xfId="717" xr:uid="{00000000-0005-0000-0000-00001B020000}"/>
    <cellStyle name="60% - Accent4 2 17" xfId="718" xr:uid="{00000000-0005-0000-0000-00001C020000}"/>
    <cellStyle name="60% - Accent4 2 2" xfId="719" xr:uid="{00000000-0005-0000-0000-00001D020000}"/>
    <cellStyle name="60% - Accent4 2 2 2" xfId="720" xr:uid="{00000000-0005-0000-0000-00001E020000}"/>
    <cellStyle name="60% - Accent4 2 2 2 2" xfId="721" xr:uid="{00000000-0005-0000-0000-00001F020000}"/>
    <cellStyle name="60% - Accent4 2 2 2 3" xfId="722" xr:uid="{00000000-0005-0000-0000-000020020000}"/>
    <cellStyle name="60% - Accent4 2 2 3" xfId="723" xr:uid="{00000000-0005-0000-0000-000021020000}"/>
    <cellStyle name="60% - Accent4 2 2 4" xfId="724" xr:uid="{00000000-0005-0000-0000-000022020000}"/>
    <cellStyle name="60% - Accent4 2 3" xfId="725" xr:uid="{00000000-0005-0000-0000-000023020000}"/>
    <cellStyle name="60% - Accent4 2 4" xfId="726" xr:uid="{00000000-0005-0000-0000-000024020000}"/>
    <cellStyle name="60% - Accent4 2 5" xfId="727" xr:uid="{00000000-0005-0000-0000-000025020000}"/>
    <cellStyle name="60% - Accent4 2 6" xfId="728" xr:uid="{00000000-0005-0000-0000-000026020000}"/>
    <cellStyle name="60% - Accent4 2 7" xfId="729" xr:uid="{00000000-0005-0000-0000-000027020000}"/>
    <cellStyle name="60% - Accent4 2 8" xfId="730" xr:uid="{00000000-0005-0000-0000-000028020000}"/>
    <cellStyle name="60% - Accent4 2 9" xfId="731" xr:uid="{00000000-0005-0000-0000-000029020000}"/>
    <cellStyle name="60% - Accent4 3" xfId="732" xr:uid="{00000000-0005-0000-0000-00002A020000}"/>
    <cellStyle name="60% - Accent4 3 2" xfId="733" xr:uid="{00000000-0005-0000-0000-00002B020000}"/>
    <cellStyle name="60% - Accent4 3 3" xfId="734" xr:uid="{00000000-0005-0000-0000-00002C020000}"/>
    <cellStyle name="60% - Accent4 4" xfId="735" xr:uid="{00000000-0005-0000-0000-00002D020000}"/>
    <cellStyle name="60% - Accent5" xfId="44" builtinId="48" customBuiltin="1"/>
    <cellStyle name="60% - Accent5 2" xfId="74" xr:uid="{00000000-0005-0000-0000-00002F020000}"/>
    <cellStyle name="60% - Accent5 2 10" xfId="736" xr:uid="{00000000-0005-0000-0000-000030020000}"/>
    <cellStyle name="60% - Accent5 2 11" xfId="737" xr:uid="{00000000-0005-0000-0000-000031020000}"/>
    <cellStyle name="60% - Accent5 2 12" xfId="738" xr:uid="{00000000-0005-0000-0000-000032020000}"/>
    <cellStyle name="60% - Accent5 2 13" xfId="739" xr:uid="{00000000-0005-0000-0000-000033020000}"/>
    <cellStyle name="60% - Accent5 2 14" xfId="740" xr:uid="{00000000-0005-0000-0000-000034020000}"/>
    <cellStyle name="60% - Accent5 2 15" xfId="741" xr:uid="{00000000-0005-0000-0000-000035020000}"/>
    <cellStyle name="60% - Accent5 2 16" xfId="742" xr:uid="{00000000-0005-0000-0000-000036020000}"/>
    <cellStyle name="60% - Accent5 2 17" xfId="743" xr:uid="{00000000-0005-0000-0000-000037020000}"/>
    <cellStyle name="60% - Accent5 2 2" xfId="744" xr:uid="{00000000-0005-0000-0000-000038020000}"/>
    <cellStyle name="60% - Accent5 2 2 2" xfId="745" xr:uid="{00000000-0005-0000-0000-000039020000}"/>
    <cellStyle name="60% - Accent5 2 2 2 2" xfId="746" xr:uid="{00000000-0005-0000-0000-00003A020000}"/>
    <cellStyle name="60% - Accent5 2 2 2 3" xfId="747" xr:uid="{00000000-0005-0000-0000-00003B020000}"/>
    <cellStyle name="60% - Accent5 2 2 3" xfId="748" xr:uid="{00000000-0005-0000-0000-00003C020000}"/>
    <cellStyle name="60% - Accent5 2 2 4" xfId="749" xr:uid="{00000000-0005-0000-0000-00003D020000}"/>
    <cellStyle name="60% - Accent5 2 3" xfId="750" xr:uid="{00000000-0005-0000-0000-00003E020000}"/>
    <cellStyle name="60% - Accent5 2 4" xfId="751" xr:uid="{00000000-0005-0000-0000-00003F020000}"/>
    <cellStyle name="60% - Accent5 2 5" xfId="752" xr:uid="{00000000-0005-0000-0000-000040020000}"/>
    <cellStyle name="60% - Accent5 2 6" xfId="753" xr:uid="{00000000-0005-0000-0000-000041020000}"/>
    <cellStyle name="60% - Accent5 2 7" xfId="754" xr:uid="{00000000-0005-0000-0000-000042020000}"/>
    <cellStyle name="60% - Accent5 2 8" xfId="755" xr:uid="{00000000-0005-0000-0000-000043020000}"/>
    <cellStyle name="60% - Accent5 2 9" xfId="756" xr:uid="{00000000-0005-0000-0000-000044020000}"/>
    <cellStyle name="60% - Accent5 3" xfId="757" xr:uid="{00000000-0005-0000-0000-000045020000}"/>
    <cellStyle name="60% - Accent5 3 2" xfId="758" xr:uid="{00000000-0005-0000-0000-000046020000}"/>
    <cellStyle name="60% - Accent5 3 3" xfId="759" xr:uid="{00000000-0005-0000-0000-000047020000}"/>
    <cellStyle name="60% - Accent5 4" xfId="760" xr:uid="{00000000-0005-0000-0000-000048020000}"/>
    <cellStyle name="60% - Accent6" xfId="48" builtinId="52" customBuiltin="1"/>
    <cellStyle name="60% - Accent6 2" xfId="75" xr:uid="{00000000-0005-0000-0000-00004A020000}"/>
    <cellStyle name="60% - Accent6 2 10" xfId="761" xr:uid="{00000000-0005-0000-0000-00004B020000}"/>
    <cellStyle name="60% - Accent6 2 11" xfId="762" xr:uid="{00000000-0005-0000-0000-00004C020000}"/>
    <cellStyle name="60% - Accent6 2 12" xfId="763" xr:uid="{00000000-0005-0000-0000-00004D020000}"/>
    <cellStyle name="60% - Accent6 2 13" xfId="764" xr:uid="{00000000-0005-0000-0000-00004E020000}"/>
    <cellStyle name="60% - Accent6 2 14" xfId="765" xr:uid="{00000000-0005-0000-0000-00004F020000}"/>
    <cellStyle name="60% - Accent6 2 15" xfId="766" xr:uid="{00000000-0005-0000-0000-000050020000}"/>
    <cellStyle name="60% - Accent6 2 16" xfId="767" xr:uid="{00000000-0005-0000-0000-000051020000}"/>
    <cellStyle name="60% - Accent6 2 17" xfId="768" xr:uid="{00000000-0005-0000-0000-000052020000}"/>
    <cellStyle name="60% - Accent6 2 2" xfId="769" xr:uid="{00000000-0005-0000-0000-000053020000}"/>
    <cellStyle name="60% - Accent6 2 2 2" xfId="770" xr:uid="{00000000-0005-0000-0000-000054020000}"/>
    <cellStyle name="60% - Accent6 2 2 2 2" xfId="771" xr:uid="{00000000-0005-0000-0000-000055020000}"/>
    <cellStyle name="60% - Accent6 2 2 2 3" xfId="772" xr:uid="{00000000-0005-0000-0000-000056020000}"/>
    <cellStyle name="60% - Accent6 2 2 3" xfId="773" xr:uid="{00000000-0005-0000-0000-000057020000}"/>
    <cellStyle name="60% - Accent6 2 2 4" xfId="774" xr:uid="{00000000-0005-0000-0000-000058020000}"/>
    <cellStyle name="60% - Accent6 2 3" xfId="775" xr:uid="{00000000-0005-0000-0000-000059020000}"/>
    <cellStyle name="60% - Accent6 2 4" xfId="776" xr:uid="{00000000-0005-0000-0000-00005A020000}"/>
    <cellStyle name="60% - Accent6 2 5" xfId="777" xr:uid="{00000000-0005-0000-0000-00005B020000}"/>
    <cellStyle name="60% - Accent6 2 6" xfId="778" xr:uid="{00000000-0005-0000-0000-00005C020000}"/>
    <cellStyle name="60% - Accent6 2 7" xfId="779" xr:uid="{00000000-0005-0000-0000-00005D020000}"/>
    <cellStyle name="60% - Accent6 2 8" xfId="780" xr:uid="{00000000-0005-0000-0000-00005E020000}"/>
    <cellStyle name="60% - Accent6 2 9" xfId="781" xr:uid="{00000000-0005-0000-0000-00005F020000}"/>
    <cellStyle name="60% - Accent6 3" xfId="782" xr:uid="{00000000-0005-0000-0000-000060020000}"/>
    <cellStyle name="60% - Accent6 3 2" xfId="783" xr:uid="{00000000-0005-0000-0000-000061020000}"/>
    <cellStyle name="60% - Accent6 3 3" xfId="784" xr:uid="{00000000-0005-0000-0000-000062020000}"/>
    <cellStyle name="60% - Accent6 4" xfId="785" xr:uid="{00000000-0005-0000-0000-000063020000}"/>
    <cellStyle name="60% - Énfasis1" xfId="786" xr:uid="{00000000-0005-0000-0000-000064020000}"/>
    <cellStyle name="60% - Énfasis2" xfId="787" xr:uid="{00000000-0005-0000-0000-000065020000}"/>
    <cellStyle name="60% - Énfasis3" xfId="788" xr:uid="{00000000-0005-0000-0000-000066020000}"/>
    <cellStyle name="60% - Énfasis4" xfId="789" xr:uid="{00000000-0005-0000-0000-000067020000}"/>
    <cellStyle name="60% - Énfasis5" xfId="790" xr:uid="{00000000-0005-0000-0000-000068020000}"/>
    <cellStyle name="60% - Énfasis6" xfId="791" xr:uid="{00000000-0005-0000-0000-000069020000}"/>
    <cellStyle name="Accent1" xfId="25" builtinId="29" customBuiltin="1"/>
    <cellStyle name="Accent1 2" xfId="76" xr:uid="{00000000-0005-0000-0000-00006B020000}"/>
    <cellStyle name="Accent1 2 10" xfId="792" xr:uid="{00000000-0005-0000-0000-00006C020000}"/>
    <cellStyle name="Accent1 2 11" xfId="793" xr:uid="{00000000-0005-0000-0000-00006D020000}"/>
    <cellStyle name="Accent1 2 12" xfId="794" xr:uid="{00000000-0005-0000-0000-00006E020000}"/>
    <cellStyle name="Accent1 2 13" xfId="795" xr:uid="{00000000-0005-0000-0000-00006F020000}"/>
    <cellStyle name="Accent1 2 14" xfId="796" xr:uid="{00000000-0005-0000-0000-000070020000}"/>
    <cellStyle name="Accent1 2 15" xfId="797" xr:uid="{00000000-0005-0000-0000-000071020000}"/>
    <cellStyle name="Accent1 2 16" xfId="798" xr:uid="{00000000-0005-0000-0000-000072020000}"/>
    <cellStyle name="Accent1 2 17" xfId="799" xr:uid="{00000000-0005-0000-0000-000073020000}"/>
    <cellStyle name="Accent1 2 2" xfId="800" xr:uid="{00000000-0005-0000-0000-000074020000}"/>
    <cellStyle name="Accent1 2 2 2" xfId="801" xr:uid="{00000000-0005-0000-0000-000075020000}"/>
    <cellStyle name="Accent1 2 2 2 2" xfId="802" xr:uid="{00000000-0005-0000-0000-000076020000}"/>
    <cellStyle name="Accent1 2 2 2 3" xfId="803" xr:uid="{00000000-0005-0000-0000-000077020000}"/>
    <cellStyle name="Accent1 2 2 3" xfId="804" xr:uid="{00000000-0005-0000-0000-000078020000}"/>
    <cellStyle name="Accent1 2 2 4" xfId="805" xr:uid="{00000000-0005-0000-0000-000079020000}"/>
    <cellStyle name="Accent1 2 3" xfId="806" xr:uid="{00000000-0005-0000-0000-00007A020000}"/>
    <cellStyle name="Accent1 2 4" xfId="807" xr:uid="{00000000-0005-0000-0000-00007B020000}"/>
    <cellStyle name="Accent1 2 5" xfId="808" xr:uid="{00000000-0005-0000-0000-00007C020000}"/>
    <cellStyle name="Accent1 2 6" xfId="809" xr:uid="{00000000-0005-0000-0000-00007D020000}"/>
    <cellStyle name="Accent1 2 7" xfId="810" xr:uid="{00000000-0005-0000-0000-00007E020000}"/>
    <cellStyle name="Accent1 2 8" xfId="811" xr:uid="{00000000-0005-0000-0000-00007F020000}"/>
    <cellStyle name="Accent1 2 9" xfId="812" xr:uid="{00000000-0005-0000-0000-000080020000}"/>
    <cellStyle name="Accent1 3" xfId="813" xr:uid="{00000000-0005-0000-0000-000081020000}"/>
    <cellStyle name="Accent1 3 2" xfId="814" xr:uid="{00000000-0005-0000-0000-000082020000}"/>
    <cellStyle name="Accent1 3 3" xfId="815" xr:uid="{00000000-0005-0000-0000-000083020000}"/>
    <cellStyle name="Accent1 4" xfId="816" xr:uid="{00000000-0005-0000-0000-000084020000}"/>
    <cellStyle name="Accent2" xfId="29" builtinId="33" customBuiltin="1"/>
    <cellStyle name="Accent2 2" xfId="77" xr:uid="{00000000-0005-0000-0000-000086020000}"/>
    <cellStyle name="Accent2 2 10" xfId="817" xr:uid="{00000000-0005-0000-0000-000087020000}"/>
    <cellStyle name="Accent2 2 11" xfId="818" xr:uid="{00000000-0005-0000-0000-000088020000}"/>
    <cellStyle name="Accent2 2 12" xfId="819" xr:uid="{00000000-0005-0000-0000-000089020000}"/>
    <cellStyle name="Accent2 2 13" xfId="820" xr:uid="{00000000-0005-0000-0000-00008A020000}"/>
    <cellStyle name="Accent2 2 14" xfId="821" xr:uid="{00000000-0005-0000-0000-00008B020000}"/>
    <cellStyle name="Accent2 2 15" xfId="822" xr:uid="{00000000-0005-0000-0000-00008C020000}"/>
    <cellStyle name="Accent2 2 16" xfId="823" xr:uid="{00000000-0005-0000-0000-00008D020000}"/>
    <cellStyle name="Accent2 2 17" xfId="824" xr:uid="{00000000-0005-0000-0000-00008E020000}"/>
    <cellStyle name="Accent2 2 2" xfId="825" xr:uid="{00000000-0005-0000-0000-00008F020000}"/>
    <cellStyle name="Accent2 2 2 2" xfId="826" xr:uid="{00000000-0005-0000-0000-000090020000}"/>
    <cellStyle name="Accent2 2 2 2 2" xfId="827" xr:uid="{00000000-0005-0000-0000-000091020000}"/>
    <cellStyle name="Accent2 2 2 2 3" xfId="828" xr:uid="{00000000-0005-0000-0000-000092020000}"/>
    <cellStyle name="Accent2 2 2 3" xfId="829" xr:uid="{00000000-0005-0000-0000-000093020000}"/>
    <cellStyle name="Accent2 2 2 4" xfId="830" xr:uid="{00000000-0005-0000-0000-000094020000}"/>
    <cellStyle name="Accent2 2 3" xfId="831" xr:uid="{00000000-0005-0000-0000-000095020000}"/>
    <cellStyle name="Accent2 2 4" xfId="832" xr:uid="{00000000-0005-0000-0000-000096020000}"/>
    <cellStyle name="Accent2 2 5" xfId="833" xr:uid="{00000000-0005-0000-0000-000097020000}"/>
    <cellStyle name="Accent2 2 6" xfId="834" xr:uid="{00000000-0005-0000-0000-000098020000}"/>
    <cellStyle name="Accent2 2 7" xfId="835" xr:uid="{00000000-0005-0000-0000-000099020000}"/>
    <cellStyle name="Accent2 2 8" xfId="836" xr:uid="{00000000-0005-0000-0000-00009A020000}"/>
    <cellStyle name="Accent2 2 9" xfId="837" xr:uid="{00000000-0005-0000-0000-00009B020000}"/>
    <cellStyle name="Accent2 3" xfId="838" xr:uid="{00000000-0005-0000-0000-00009C020000}"/>
    <cellStyle name="Accent2 3 2" xfId="839" xr:uid="{00000000-0005-0000-0000-00009D020000}"/>
    <cellStyle name="Accent2 3 3" xfId="840" xr:uid="{00000000-0005-0000-0000-00009E020000}"/>
    <cellStyle name="Accent2 4" xfId="841" xr:uid="{00000000-0005-0000-0000-00009F020000}"/>
    <cellStyle name="Accent3" xfId="33" builtinId="37" customBuiltin="1"/>
    <cellStyle name="Accent3 2" xfId="78" xr:uid="{00000000-0005-0000-0000-0000A1020000}"/>
    <cellStyle name="Accent3 2 10" xfId="842" xr:uid="{00000000-0005-0000-0000-0000A2020000}"/>
    <cellStyle name="Accent3 2 11" xfId="843" xr:uid="{00000000-0005-0000-0000-0000A3020000}"/>
    <cellStyle name="Accent3 2 12" xfId="844" xr:uid="{00000000-0005-0000-0000-0000A4020000}"/>
    <cellStyle name="Accent3 2 13" xfId="845" xr:uid="{00000000-0005-0000-0000-0000A5020000}"/>
    <cellStyle name="Accent3 2 14" xfId="846" xr:uid="{00000000-0005-0000-0000-0000A6020000}"/>
    <cellStyle name="Accent3 2 15" xfId="847" xr:uid="{00000000-0005-0000-0000-0000A7020000}"/>
    <cellStyle name="Accent3 2 16" xfId="848" xr:uid="{00000000-0005-0000-0000-0000A8020000}"/>
    <cellStyle name="Accent3 2 17" xfId="849" xr:uid="{00000000-0005-0000-0000-0000A9020000}"/>
    <cellStyle name="Accent3 2 2" xfId="850" xr:uid="{00000000-0005-0000-0000-0000AA020000}"/>
    <cellStyle name="Accent3 2 2 2" xfId="851" xr:uid="{00000000-0005-0000-0000-0000AB020000}"/>
    <cellStyle name="Accent3 2 2 2 2" xfId="852" xr:uid="{00000000-0005-0000-0000-0000AC020000}"/>
    <cellStyle name="Accent3 2 2 2 3" xfId="853" xr:uid="{00000000-0005-0000-0000-0000AD020000}"/>
    <cellStyle name="Accent3 2 2 3" xfId="854" xr:uid="{00000000-0005-0000-0000-0000AE020000}"/>
    <cellStyle name="Accent3 2 2 4" xfId="855" xr:uid="{00000000-0005-0000-0000-0000AF020000}"/>
    <cellStyle name="Accent3 2 3" xfId="856" xr:uid="{00000000-0005-0000-0000-0000B0020000}"/>
    <cellStyle name="Accent3 2 4" xfId="857" xr:uid="{00000000-0005-0000-0000-0000B1020000}"/>
    <cellStyle name="Accent3 2 5" xfId="858" xr:uid="{00000000-0005-0000-0000-0000B2020000}"/>
    <cellStyle name="Accent3 2 6" xfId="859" xr:uid="{00000000-0005-0000-0000-0000B3020000}"/>
    <cellStyle name="Accent3 2 7" xfId="860" xr:uid="{00000000-0005-0000-0000-0000B4020000}"/>
    <cellStyle name="Accent3 2 8" xfId="861" xr:uid="{00000000-0005-0000-0000-0000B5020000}"/>
    <cellStyle name="Accent3 2 9" xfId="862" xr:uid="{00000000-0005-0000-0000-0000B6020000}"/>
    <cellStyle name="Accent3 3" xfId="863" xr:uid="{00000000-0005-0000-0000-0000B7020000}"/>
    <cellStyle name="Accent3 3 2" xfId="864" xr:uid="{00000000-0005-0000-0000-0000B8020000}"/>
    <cellStyle name="Accent3 3 3" xfId="865" xr:uid="{00000000-0005-0000-0000-0000B9020000}"/>
    <cellStyle name="Accent3 4" xfId="866" xr:uid="{00000000-0005-0000-0000-0000BA020000}"/>
    <cellStyle name="Accent4" xfId="37" builtinId="41" customBuiltin="1"/>
    <cellStyle name="Accent4 2" xfId="79" xr:uid="{00000000-0005-0000-0000-0000BC020000}"/>
    <cellStyle name="Accent4 2 10" xfId="867" xr:uid="{00000000-0005-0000-0000-0000BD020000}"/>
    <cellStyle name="Accent4 2 11" xfId="868" xr:uid="{00000000-0005-0000-0000-0000BE020000}"/>
    <cellStyle name="Accent4 2 12" xfId="869" xr:uid="{00000000-0005-0000-0000-0000BF020000}"/>
    <cellStyle name="Accent4 2 13" xfId="870" xr:uid="{00000000-0005-0000-0000-0000C0020000}"/>
    <cellStyle name="Accent4 2 14" xfId="871" xr:uid="{00000000-0005-0000-0000-0000C1020000}"/>
    <cellStyle name="Accent4 2 15" xfId="872" xr:uid="{00000000-0005-0000-0000-0000C2020000}"/>
    <cellStyle name="Accent4 2 16" xfId="873" xr:uid="{00000000-0005-0000-0000-0000C3020000}"/>
    <cellStyle name="Accent4 2 17" xfId="874" xr:uid="{00000000-0005-0000-0000-0000C4020000}"/>
    <cellStyle name="Accent4 2 2" xfId="875" xr:uid="{00000000-0005-0000-0000-0000C5020000}"/>
    <cellStyle name="Accent4 2 2 2" xfId="876" xr:uid="{00000000-0005-0000-0000-0000C6020000}"/>
    <cellStyle name="Accent4 2 2 2 2" xfId="877" xr:uid="{00000000-0005-0000-0000-0000C7020000}"/>
    <cellStyle name="Accent4 2 2 2 3" xfId="878" xr:uid="{00000000-0005-0000-0000-0000C8020000}"/>
    <cellStyle name="Accent4 2 2 3" xfId="879" xr:uid="{00000000-0005-0000-0000-0000C9020000}"/>
    <cellStyle name="Accent4 2 2 4" xfId="880" xr:uid="{00000000-0005-0000-0000-0000CA020000}"/>
    <cellStyle name="Accent4 2 3" xfId="881" xr:uid="{00000000-0005-0000-0000-0000CB020000}"/>
    <cellStyle name="Accent4 2 4" xfId="882" xr:uid="{00000000-0005-0000-0000-0000CC020000}"/>
    <cellStyle name="Accent4 2 5" xfId="883" xr:uid="{00000000-0005-0000-0000-0000CD020000}"/>
    <cellStyle name="Accent4 2 6" xfId="884" xr:uid="{00000000-0005-0000-0000-0000CE020000}"/>
    <cellStyle name="Accent4 2 7" xfId="885" xr:uid="{00000000-0005-0000-0000-0000CF020000}"/>
    <cellStyle name="Accent4 2 8" xfId="886" xr:uid="{00000000-0005-0000-0000-0000D0020000}"/>
    <cellStyle name="Accent4 2 9" xfId="887" xr:uid="{00000000-0005-0000-0000-0000D1020000}"/>
    <cellStyle name="Accent4 3" xfId="888" xr:uid="{00000000-0005-0000-0000-0000D2020000}"/>
    <cellStyle name="Accent4 3 2" xfId="889" xr:uid="{00000000-0005-0000-0000-0000D3020000}"/>
    <cellStyle name="Accent4 3 3" xfId="890" xr:uid="{00000000-0005-0000-0000-0000D4020000}"/>
    <cellStyle name="Accent4 4" xfId="891" xr:uid="{00000000-0005-0000-0000-0000D5020000}"/>
    <cellStyle name="Accent5" xfId="41" builtinId="45" customBuiltin="1"/>
    <cellStyle name="Accent5 2" xfId="80" xr:uid="{00000000-0005-0000-0000-0000D7020000}"/>
    <cellStyle name="Accent5 2 10" xfId="892" xr:uid="{00000000-0005-0000-0000-0000D8020000}"/>
    <cellStyle name="Accent5 2 11" xfId="893" xr:uid="{00000000-0005-0000-0000-0000D9020000}"/>
    <cellStyle name="Accent5 2 12" xfId="894" xr:uid="{00000000-0005-0000-0000-0000DA020000}"/>
    <cellStyle name="Accent5 2 13" xfId="895" xr:uid="{00000000-0005-0000-0000-0000DB020000}"/>
    <cellStyle name="Accent5 2 14" xfId="896" xr:uid="{00000000-0005-0000-0000-0000DC020000}"/>
    <cellStyle name="Accent5 2 15" xfId="897" xr:uid="{00000000-0005-0000-0000-0000DD020000}"/>
    <cellStyle name="Accent5 2 16" xfId="898" xr:uid="{00000000-0005-0000-0000-0000DE020000}"/>
    <cellStyle name="Accent5 2 17" xfId="899" xr:uid="{00000000-0005-0000-0000-0000DF020000}"/>
    <cellStyle name="Accent5 2 2" xfId="900" xr:uid="{00000000-0005-0000-0000-0000E0020000}"/>
    <cellStyle name="Accent5 2 2 2" xfId="901" xr:uid="{00000000-0005-0000-0000-0000E1020000}"/>
    <cellStyle name="Accent5 2 2 2 2" xfId="902" xr:uid="{00000000-0005-0000-0000-0000E2020000}"/>
    <cellStyle name="Accent5 2 2 2 3" xfId="903" xr:uid="{00000000-0005-0000-0000-0000E3020000}"/>
    <cellStyle name="Accent5 2 2 3" xfId="904" xr:uid="{00000000-0005-0000-0000-0000E4020000}"/>
    <cellStyle name="Accent5 2 2 4" xfId="905" xr:uid="{00000000-0005-0000-0000-0000E5020000}"/>
    <cellStyle name="Accent5 2 3" xfId="906" xr:uid="{00000000-0005-0000-0000-0000E6020000}"/>
    <cellStyle name="Accent5 2 4" xfId="907" xr:uid="{00000000-0005-0000-0000-0000E7020000}"/>
    <cellStyle name="Accent5 2 5" xfId="908" xr:uid="{00000000-0005-0000-0000-0000E8020000}"/>
    <cellStyle name="Accent5 2 6" xfId="909" xr:uid="{00000000-0005-0000-0000-0000E9020000}"/>
    <cellStyle name="Accent5 2 7" xfId="910" xr:uid="{00000000-0005-0000-0000-0000EA020000}"/>
    <cellStyle name="Accent5 2 8" xfId="911" xr:uid="{00000000-0005-0000-0000-0000EB020000}"/>
    <cellStyle name="Accent5 2 9" xfId="912" xr:uid="{00000000-0005-0000-0000-0000EC020000}"/>
    <cellStyle name="Accent5 3" xfId="913" xr:uid="{00000000-0005-0000-0000-0000ED020000}"/>
    <cellStyle name="Accent5 3 2" xfId="914" xr:uid="{00000000-0005-0000-0000-0000EE020000}"/>
    <cellStyle name="Accent5 3 3" xfId="915" xr:uid="{00000000-0005-0000-0000-0000EF020000}"/>
    <cellStyle name="Accent5 4" xfId="916" xr:uid="{00000000-0005-0000-0000-0000F0020000}"/>
    <cellStyle name="Accent6" xfId="45" builtinId="49" customBuiltin="1"/>
    <cellStyle name="Accent6 2" xfId="81" xr:uid="{00000000-0005-0000-0000-0000F2020000}"/>
    <cellStyle name="Accent6 2 10" xfId="917" xr:uid="{00000000-0005-0000-0000-0000F3020000}"/>
    <cellStyle name="Accent6 2 11" xfId="918" xr:uid="{00000000-0005-0000-0000-0000F4020000}"/>
    <cellStyle name="Accent6 2 12" xfId="919" xr:uid="{00000000-0005-0000-0000-0000F5020000}"/>
    <cellStyle name="Accent6 2 13" xfId="920" xr:uid="{00000000-0005-0000-0000-0000F6020000}"/>
    <cellStyle name="Accent6 2 14" xfId="921" xr:uid="{00000000-0005-0000-0000-0000F7020000}"/>
    <cellStyle name="Accent6 2 15" xfId="922" xr:uid="{00000000-0005-0000-0000-0000F8020000}"/>
    <cellStyle name="Accent6 2 16" xfId="923" xr:uid="{00000000-0005-0000-0000-0000F9020000}"/>
    <cellStyle name="Accent6 2 17" xfId="924" xr:uid="{00000000-0005-0000-0000-0000FA020000}"/>
    <cellStyle name="Accent6 2 2" xfId="925" xr:uid="{00000000-0005-0000-0000-0000FB020000}"/>
    <cellStyle name="Accent6 2 2 2" xfId="926" xr:uid="{00000000-0005-0000-0000-0000FC020000}"/>
    <cellStyle name="Accent6 2 2 2 2" xfId="927" xr:uid="{00000000-0005-0000-0000-0000FD020000}"/>
    <cellStyle name="Accent6 2 2 2 3" xfId="928" xr:uid="{00000000-0005-0000-0000-0000FE020000}"/>
    <cellStyle name="Accent6 2 2 3" xfId="929" xr:uid="{00000000-0005-0000-0000-0000FF020000}"/>
    <cellStyle name="Accent6 2 2 4" xfId="930" xr:uid="{00000000-0005-0000-0000-000000030000}"/>
    <cellStyle name="Accent6 2 3" xfId="931" xr:uid="{00000000-0005-0000-0000-000001030000}"/>
    <cellStyle name="Accent6 2 4" xfId="932" xr:uid="{00000000-0005-0000-0000-000002030000}"/>
    <cellStyle name="Accent6 2 5" xfId="933" xr:uid="{00000000-0005-0000-0000-000003030000}"/>
    <cellStyle name="Accent6 2 6" xfId="934" xr:uid="{00000000-0005-0000-0000-000004030000}"/>
    <cellStyle name="Accent6 2 7" xfId="935" xr:uid="{00000000-0005-0000-0000-000005030000}"/>
    <cellStyle name="Accent6 2 8" xfId="936" xr:uid="{00000000-0005-0000-0000-000006030000}"/>
    <cellStyle name="Accent6 2 9" xfId="937" xr:uid="{00000000-0005-0000-0000-000007030000}"/>
    <cellStyle name="Accent6 3" xfId="938" xr:uid="{00000000-0005-0000-0000-000008030000}"/>
    <cellStyle name="Accent6 3 2" xfId="939" xr:uid="{00000000-0005-0000-0000-000009030000}"/>
    <cellStyle name="Accent6 3 3" xfId="940" xr:uid="{00000000-0005-0000-0000-00000A030000}"/>
    <cellStyle name="Accent6 4" xfId="941" xr:uid="{00000000-0005-0000-0000-00000B030000}"/>
    <cellStyle name="Adjustable" xfId="942" xr:uid="{00000000-0005-0000-0000-00000C030000}"/>
    <cellStyle name="Adjustable 10" xfId="943" xr:uid="{00000000-0005-0000-0000-00000D030000}"/>
    <cellStyle name="Adjustable 11" xfId="944" xr:uid="{00000000-0005-0000-0000-00000E030000}"/>
    <cellStyle name="Adjustable 12" xfId="945" xr:uid="{00000000-0005-0000-0000-00000F030000}"/>
    <cellStyle name="Adjustable 13" xfId="946" xr:uid="{00000000-0005-0000-0000-000010030000}"/>
    <cellStyle name="Adjustable 14" xfId="947" xr:uid="{00000000-0005-0000-0000-000011030000}"/>
    <cellStyle name="Adjustable 15" xfId="948" xr:uid="{00000000-0005-0000-0000-000012030000}"/>
    <cellStyle name="Adjustable 16" xfId="949" xr:uid="{00000000-0005-0000-0000-000013030000}"/>
    <cellStyle name="Adjustable 17" xfId="950" xr:uid="{00000000-0005-0000-0000-000014030000}"/>
    <cellStyle name="Adjustable 18" xfId="951" xr:uid="{00000000-0005-0000-0000-000015030000}"/>
    <cellStyle name="Adjustable 19" xfId="952" xr:uid="{00000000-0005-0000-0000-000016030000}"/>
    <cellStyle name="Adjustable 2" xfId="953" xr:uid="{00000000-0005-0000-0000-000017030000}"/>
    <cellStyle name="Adjustable 20" xfId="954" xr:uid="{00000000-0005-0000-0000-000018030000}"/>
    <cellStyle name="Adjustable 21" xfId="955" xr:uid="{00000000-0005-0000-0000-000019030000}"/>
    <cellStyle name="Adjustable 22" xfId="956" xr:uid="{00000000-0005-0000-0000-00001A030000}"/>
    <cellStyle name="Adjustable 23" xfId="957" xr:uid="{00000000-0005-0000-0000-00001B030000}"/>
    <cellStyle name="Adjustable 24" xfId="958" xr:uid="{00000000-0005-0000-0000-00001C030000}"/>
    <cellStyle name="Adjustable 3" xfId="959" xr:uid="{00000000-0005-0000-0000-00001D030000}"/>
    <cellStyle name="Adjustable 4" xfId="960" xr:uid="{00000000-0005-0000-0000-00001E030000}"/>
    <cellStyle name="Adjustable 5" xfId="961" xr:uid="{00000000-0005-0000-0000-00001F030000}"/>
    <cellStyle name="Adjustable 6" xfId="962" xr:uid="{00000000-0005-0000-0000-000020030000}"/>
    <cellStyle name="Adjustable 7" xfId="963" xr:uid="{00000000-0005-0000-0000-000021030000}"/>
    <cellStyle name="Adjustable 8" xfId="964" xr:uid="{00000000-0005-0000-0000-000022030000}"/>
    <cellStyle name="Adjustable 9" xfId="965" xr:uid="{00000000-0005-0000-0000-000023030000}"/>
    <cellStyle name="Andre's Title" xfId="966" xr:uid="{00000000-0005-0000-0000-000024030000}"/>
    <cellStyle name="Arial 11" xfId="967" xr:uid="{00000000-0005-0000-0000-000025030000}"/>
    <cellStyle name="Bad" xfId="15" builtinId="27" customBuiltin="1"/>
    <cellStyle name="Bad 2" xfId="82" xr:uid="{00000000-0005-0000-0000-000027030000}"/>
    <cellStyle name="Bad 2 10" xfId="968" xr:uid="{00000000-0005-0000-0000-000028030000}"/>
    <cellStyle name="Bad 2 11" xfId="969" xr:uid="{00000000-0005-0000-0000-000029030000}"/>
    <cellStyle name="Bad 2 12" xfId="970" xr:uid="{00000000-0005-0000-0000-00002A030000}"/>
    <cellStyle name="Bad 2 13" xfId="971" xr:uid="{00000000-0005-0000-0000-00002B030000}"/>
    <cellStyle name="Bad 2 14" xfId="972" xr:uid="{00000000-0005-0000-0000-00002C030000}"/>
    <cellStyle name="Bad 2 15" xfId="973" xr:uid="{00000000-0005-0000-0000-00002D030000}"/>
    <cellStyle name="Bad 2 16" xfId="974" xr:uid="{00000000-0005-0000-0000-00002E030000}"/>
    <cellStyle name="Bad 2 17" xfId="975" xr:uid="{00000000-0005-0000-0000-00002F030000}"/>
    <cellStyle name="Bad 2 2" xfId="976" xr:uid="{00000000-0005-0000-0000-000030030000}"/>
    <cellStyle name="Bad 2 2 2" xfId="977" xr:uid="{00000000-0005-0000-0000-000031030000}"/>
    <cellStyle name="Bad 2 2 2 2" xfId="978" xr:uid="{00000000-0005-0000-0000-000032030000}"/>
    <cellStyle name="Bad 2 2 2 3" xfId="979" xr:uid="{00000000-0005-0000-0000-000033030000}"/>
    <cellStyle name="Bad 2 2 3" xfId="980" xr:uid="{00000000-0005-0000-0000-000034030000}"/>
    <cellStyle name="Bad 2 2 4" xfId="981" xr:uid="{00000000-0005-0000-0000-000035030000}"/>
    <cellStyle name="Bad 2 3" xfId="982" xr:uid="{00000000-0005-0000-0000-000036030000}"/>
    <cellStyle name="Bad 2 4" xfId="983" xr:uid="{00000000-0005-0000-0000-000037030000}"/>
    <cellStyle name="Bad 2 5" xfId="984" xr:uid="{00000000-0005-0000-0000-000038030000}"/>
    <cellStyle name="Bad 2 6" xfId="985" xr:uid="{00000000-0005-0000-0000-000039030000}"/>
    <cellStyle name="Bad 2 7" xfId="986" xr:uid="{00000000-0005-0000-0000-00003A030000}"/>
    <cellStyle name="Bad 2 8" xfId="987" xr:uid="{00000000-0005-0000-0000-00003B030000}"/>
    <cellStyle name="Bad 2 9" xfId="988" xr:uid="{00000000-0005-0000-0000-00003C030000}"/>
    <cellStyle name="Bad 3" xfId="989" xr:uid="{00000000-0005-0000-0000-00003D030000}"/>
    <cellStyle name="Bad 3 2" xfId="990" xr:uid="{00000000-0005-0000-0000-00003E030000}"/>
    <cellStyle name="Bad 3 3" xfId="991" xr:uid="{00000000-0005-0000-0000-00003F030000}"/>
    <cellStyle name="Bad 4" xfId="992" xr:uid="{00000000-0005-0000-0000-000040030000}"/>
    <cellStyle name="Best" xfId="993" xr:uid="{00000000-0005-0000-0000-000041030000}"/>
    <cellStyle name="Best 10" xfId="994" xr:uid="{00000000-0005-0000-0000-000042030000}"/>
    <cellStyle name="Best 11" xfId="995" xr:uid="{00000000-0005-0000-0000-000043030000}"/>
    <cellStyle name="Best 12" xfId="996" xr:uid="{00000000-0005-0000-0000-000044030000}"/>
    <cellStyle name="Best 13" xfId="997" xr:uid="{00000000-0005-0000-0000-000045030000}"/>
    <cellStyle name="Best 14" xfId="998" xr:uid="{00000000-0005-0000-0000-000046030000}"/>
    <cellStyle name="Best 15" xfId="999" xr:uid="{00000000-0005-0000-0000-000047030000}"/>
    <cellStyle name="Best 16" xfId="1000" xr:uid="{00000000-0005-0000-0000-000048030000}"/>
    <cellStyle name="Best 17" xfId="1001" xr:uid="{00000000-0005-0000-0000-000049030000}"/>
    <cellStyle name="Best 18" xfId="1002" xr:uid="{00000000-0005-0000-0000-00004A030000}"/>
    <cellStyle name="Best 19" xfId="1003" xr:uid="{00000000-0005-0000-0000-00004B030000}"/>
    <cellStyle name="Best 2" xfId="1004" xr:uid="{00000000-0005-0000-0000-00004C030000}"/>
    <cellStyle name="Best 20" xfId="1005" xr:uid="{00000000-0005-0000-0000-00004D030000}"/>
    <cellStyle name="Best 21" xfId="1006" xr:uid="{00000000-0005-0000-0000-00004E030000}"/>
    <cellStyle name="Best 22" xfId="1007" xr:uid="{00000000-0005-0000-0000-00004F030000}"/>
    <cellStyle name="Best 23" xfId="1008" xr:uid="{00000000-0005-0000-0000-000050030000}"/>
    <cellStyle name="Best 24" xfId="1009" xr:uid="{00000000-0005-0000-0000-000051030000}"/>
    <cellStyle name="Best 3" xfId="1010" xr:uid="{00000000-0005-0000-0000-000052030000}"/>
    <cellStyle name="Best 4" xfId="1011" xr:uid="{00000000-0005-0000-0000-000053030000}"/>
    <cellStyle name="Best 5" xfId="1012" xr:uid="{00000000-0005-0000-0000-000054030000}"/>
    <cellStyle name="Best 6" xfId="1013" xr:uid="{00000000-0005-0000-0000-000055030000}"/>
    <cellStyle name="Best 7" xfId="1014" xr:uid="{00000000-0005-0000-0000-000056030000}"/>
    <cellStyle name="Best 8" xfId="1015" xr:uid="{00000000-0005-0000-0000-000057030000}"/>
    <cellStyle name="Best 9" xfId="1016" xr:uid="{00000000-0005-0000-0000-000058030000}"/>
    <cellStyle name="black &amp; red with no decimal" xfId="1017" xr:uid="{00000000-0005-0000-0000-000059030000}"/>
    <cellStyle name="black &amp; red with no decimal 10" xfId="1018" xr:uid="{00000000-0005-0000-0000-00005A030000}"/>
    <cellStyle name="black &amp; red with no decimal 10 2" xfId="1019" xr:uid="{00000000-0005-0000-0000-00005B030000}"/>
    <cellStyle name="black &amp; red with no decimal 10 3" xfId="1020" xr:uid="{00000000-0005-0000-0000-00005C030000}"/>
    <cellStyle name="black &amp; red with no decimal 11" xfId="1021" xr:uid="{00000000-0005-0000-0000-00005D030000}"/>
    <cellStyle name="black &amp; red with no decimal 11 2" xfId="1022" xr:uid="{00000000-0005-0000-0000-00005E030000}"/>
    <cellStyle name="black &amp; red with no decimal 11 3" xfId="1023" xr:uid="{00000000-0005-0000-0000-00005F030000}"/>
    <cellStyle name="black &amp; red with no decimal 12" xfId="1024" xr:uid="{00000000-0005-0000-0000-000060030000}"/>
    <cellStyle name="black &amp; red with no decimal 13" xfId="1025" xr:uid="{00000000-0005-0000-0000-000061030000}"/>
    <cellStyle name="black &amp; red with no decimal 14" xfId="1026" xr:uid="{00000000-0005-0000-0000-000062030000}"/>
    <cellStyle name="black &amp; red with no decimal 15" xfId="1027" xr:uid="{00000000-0005-0000-0000-000063030000}"/>
    <cellStyle name="black &amp; red with no decimal 16" xfId="1028" xr:uid="{00000000-0005-0000-0000-000064030000}"/>
    <cellStyle name="black &amp; red with no decimal 17" xfId="1029" xr:uid="{00000000-0005-0000-0000-000065030000}"/>
    <cellStyle name="black &amp; red with no decimal 18" xfId="1030" xr:uid="{00000000-0005-0000-0000-000066030000}"/>
    <cellStyle name="black &amp; red with no decimal 19" xfId="1031" xr:uid="{00000000-0005-0000-0000-000067030000}"/>
    <cellStyle name="black &amp; red with no decimal 2" xfId="1032" xr:uid="{00000000-0005-0000-0000-000068030000}"/>
    <cellStyle name="black &amp; red with no decimal 2 10" xfId="1033" xr:uid="{00000000-0005-0000-0000-000069030000}"/>
    <cellStyle name="black &amp; red with no decimal 2 11" xfId="1034" xr:uid="{00000000-0005-0000-0000-00006A030000}"/>
    <cellStyle name="black &amp; red with no decimal 2 12" xfId="1035" xr:uid="{00000000-0005-0000-0000-00006B030000}"/>
    <cellStyle name="black &amp; red with no decimal 2 13" xfId="1036" xr:uid="{00000000-0005-0000-0000-00006C030000}"/>
    <cellStyle name="black &amp; red with no decimal 2 14" xfId="1037" xr:uid="{00000000-0005-0000-0000-00006D030000}"/>
    <cellStyle name="black &amp; red with no decimal 2 15" xfId="1038" xr:uid="{00000000-0005-0000-0000-00006E030000}"/>
    <cellStyle name="black &amp; red with no decimal 2 16" xfId="1039" xr:uid="{00000000-0005-0000-0000-00006F030000}"/>
    <cellStyle name="black &amp; red with no decimal 2 2" xfId="1040" xr:uid="{00000000-0005-0000-0000-000070030000}"/>
    <cellStyle name="black &amp; red with no decimal 2 2 2" xfId="1041" xr:uid="{00000000-0005-0000-0000-000071030000}"/>
    <cellStyle name="black &amp; red with no decimal 2 2 3" xfId="1042" xr:uid="{00000000-0005-0000-0000-000072030000}"/>
    <cellStyle name="black &amp; red with no decimal 2 3" xfId="1043" xr:uid="{00000000-0005-0000-0000-000073030000}"/>
    <cellStyle name="black &amp; red with no decimal 2 3 2" xfId="1044" xr:uid="{00000000-0005-0000-0000-000074030000}"/>
    <cellStyle name="black &amp; red with no decimal 2 3 3" xfId="1045" xr:uid="{00000000-0005-0000-0000-000075030000}"/>
    <cellStyle name="black &amp; red with no decimal 2 4" xfId="1046" xr:uid="{00000000-0005-0000-0000-000076030000}"/>
    <cellStyle name="black &amp; red with no decimal 2 5" xfId="1047" xr:uid="{00000000-0005-0000-0000-000077030000}"/>
    <cellStyle name="black &amp; red with no decimal 2 6" xfId="1048" xr:uid="{00000000-0005-0000-0000-000078030000}"/>
    <cellStyle name="black &amp; red with no decimal 2 7" xfId="1049" xr:uid="{00000000-0005-0000-0000-000079030000}"/>
    <cellStyle name="black &amp; red with no decimal 2 8" xfId="1050" xr:uid="{00000000-0005-0000-0000-00007A030000}"/>
    <cellStyle name="black &amp; red with no decimal 2 9" xfId="1051" xr:uid="{00000000-0005-0000-0000-00007B030000}"/>
    <cellStyle name="black &amp; red with no decimal 20" xfId="1052" xr:uid="{00000000-0005-0000-0000-00007C030000}"/>
    <cellStyle name="black &amp; red with no decimal 21" xfId="1053" xr:uid="{00000000-0005-0000-0000-00007D030000}"/>
    <cellStyle name="black &amp; red with no decimal 22" xfId="1054" xr:uid="{00000000-0005-0000-0000-00007E030000}"/>
    <cellStyle name="black &amp; red with no decimal 23" xfId="1055" xr:uid="{00000000-0005-0000-0000-00007F030000}"/>
    <cellStyle name="black &amp; red with no decimal 24" xfId="1056" xr:uid="{00000000-0005-0000-0000-000080030000}"/>
    <cellStyle name="black &amp; red with no decimal 3" xfId="1057" xr:uid="{00000000-0005-0000-0000-000081030000}"/>
    <cellStyle name="black &amp; red with no decimal 3 10" xfId="1058" xr:uid="{00000000-0005-0000-0000-000082030000}"/>
    <cellStyle name="black &amp; red with no decimal 3 11" xfId="1059" xr:uid="{00000000-0005-0000-0000-000083030000}"/>
    <cellStyle name="black &amp; red with no decimal 3 12" xfId="1060" xr:uid="{00000000-0005-0000-0000-000084030000}"/>
    <cellStyle name="black &amp; red with no decimal 3 13" xfId="1061" xr:uid="{00000000-0005-0000-0000-000085030000}"/>
    <cellStyle name="black &amp; red with no decimal 3 14" xfId="1062" xr:uid="{00000000-0005-0000-0000-000086030000}"/>
    <cellStyle name="black &amp; red with no decimal 3 15" xfId="1063" xr:uid="{00000000-0005-0000-0000-000087030000}"/>
    <cellStyle name="black &amp; red with no decimal 3 16" xfId="1064" xr:uid="{00000000-0005-0000-0000-000088030000}"/>
    <cellStyle name="black &amp; red with no decimal 3 2" xfId="1065" xr:uid="{00000000-0005-0000-0000-000089030000}"/>
    <cellStyle name="black &amp; red with no decimal 3 2 2" xfId="1066" xr:uid="{00000000-0005-0000-0000-00008A030000}"/>
    <cellStyle name="black &amp; red with no decimal 3 2 3" xfId="1067" xr:uid="{00000000-0005-0000-0000-00008B030000}"/>
    <cellStyle name="black &amp; red with no decimal 3 3" xfId="1068" xr:uid="{00000000-0005-0000-0000-00008C030000}"/>
    <cellStyle name="black &amp; red with no decimal 3 3 2" xfId="1069" xr:uid="{00000000-0005-0000-0000-00008D030000}"/>
    <cellStyle name="black &amp; red with no decimal 3 3 3" xfId="1070" xr:uid="{00000000-0005-0000-0000-00008E030000}"/>
    <cellStyle name="black &amp; red with no decimal 3 4" xfId="1071" xr:uid="{00000000-0005-0000-0000-00008F030000}"/>
    <cellStyle name="black &amp; red with no decimal 3 5" xfId="1072" xr:uid="{00000000-0005-0000-0000-000090030000}"/>
    <cellStyle name="black &amp; red with no decimal 3 6" xfId="1073" xr:uid="{00000000-0005-0000-0000-000091030000}"/>
    <cellStyle name="black &amp; red with no decimal 3 7" xfId="1074" xr:uid="{00000000-0005-0000-0000-000092030000}"/>
    <cellStyle name="black &amp; red with no decimal 3 8" xfId="1075" xr:uid="{00000000-0005-0000-0000-000093030000}"/>
    <cellStyle name="black &amp; red with no decimal 3 9" xfId="1076" xr:uid="{00000000-0005-0000-0000-000094030000}"/>
    <cellStyle name="black &amp; red with no decimal 4" xfId="1077" xr:uid="{00000000-0005-0000-0000-000095030000}"/>
    <cellStyle name="black &amp; red with no decimal 4 10" xfId="1078" xr:uid="{00000000-0005-0000-0000-000096030000}"/>
    <cellStyle name="black &amp; red with no decimal 4 11" xfId="1079" xr:uid="{00000000-0005-0000-0000-000097030000}"/>
    <cellStyle name="black &amp; red with no decimal 4 12" xfId="1080" xr:uid="{00000000-0005-0000-0000-000098030000}"/>
    <cellStyle name="black &amp; red with no decimal 4 13" xfId="1081" xr:uid="{00000000-0005-0000-0000-000099030000}"/>
    <cellStyle name="black &amp; red with no decimal 4 14" xfId="1082" xr:uid="{00000000-0005-0000-0000-00009A030000}"/>
    <cellStyle name="black &amp; red with no decimal 4 15" xfId="1083" xr:uid="{00000000-0005-0000-0000-00009B030000}"/>
    <cellStyle name="black &amp; red with no decimal 4 16" xfId="1084" xr:uid="{00000000-0005-0000-0000-00009C030000}"/>
    <cellStyle name="black &amp; red with no decimal 4 2" xfId="1085" xr:uid="{00000000-0005-0000-0000-00009D030000}"/>
    <cellStyle name="black &amp; red with no decimal 4 2 2" xfId="1086" xr:uid="{00000000-0005-0000-0000-00009E030000}"/>
    <cellStyle name="black &amp; red with no decimal 4 2 3" xfId="1087" xr:uid="{00000000-0005-0000-0000-00009F030000}"/>
    <cellStyle name="black &amp; red with no decimal 4 3" xfId="1088" xr:uid="{00000000-0005-0000-0000-0000A0030000}"/>
    <cellStyle name="black &amp; red with no decimal 4 3 2" xfId="1089" xr:uid="{00000000-0005-0000-0000-0000A1030000}"/>
    <cellStyle name="black &amp; red with no decimal 4 3 3" xfId="1090" xr:uid="{00000000-0005-0000-0000-0000A2030000}"/>
    <cellStyle name="black &amp; red with no decimal 4 4" xfId="1091" xr:uid="{00000000-0005-0000-0000-0000A3030000}"/>
    <cellStyle name="black &amp; red with no decimal 4 5" xfId="1092" xr:uid="{00000000-0005-0000-0000-0000A4030000}"/>
    <cellStyle name="black &amp; red with no decimal 4 6" xfId="1093" xr:uid="{00000000-0005-0000-0000-0000A5030000}"/>
    <cellStyle name="black &amp; red with no decimal 4 7" xfId="1094" xr:uid="{00000000-0005-0000-0000-0000A6030000}"/>
    <cellStyle name="black &amp; red with no decimal 4 8" xfId="1095" xr:uid="{00000000-0005-0000-0000-0000A7030000}"/>
    <cellStyle name="black &amp; red with no decimal 4 9" xfId="1096" xr:uid="{00000000-0005-0000-0000-0000A8030000}"/>
    <cellStyle name="black &amp; red with no decimal 5" xfId="1097" xr:uid="{00000000-0005-0000-0000-0000A9030000}"/>
    <cellStyle name="black &amp; red with no decimal 5 10" xfId="1098" xr:uid="{00000000-0005-0000-0000-0000AA030000}"/>
    <cellStyle name="black &amp; red with no decimal 5 11" xfId="1099" xr:uid="{00000000-0005-0000-0000-0000AB030000}"/>
    <cellStyle name="black &amp; red with no decimal 5 12" xfId="1100" xr:uid="{00000000-0005-0000-0000-0000AC030000}"/>
    <cellStyle name="black &amp; red with no decimal 5 13" xfId="1101" xr:uid="{00000000-0005-0000-0000-0000AD030000}"/>
    <cellStyle name="black &amp; red with no decimal 5 14" xfId="1102" xr:uid="{00000000-0005-0000-0000-0000AE030000}"/>
    <cellStyle name="black &amp; red with no decimal 5 15" xfId="1103" xr:uid="{00000000-0005-0000-0000-0000AF030000}"/>
    <cellStyle name="black &amp; red with no decimal 5 16" xfId="1104" xr:uid="{00000000-0005-0000-0000-0000B0030000}"/>
    <cellStyle name="black &amp; red with no decimal 5 2" xfId="1105" xr:uid="{00000000-0005-0000-0000-0000B1030000}"/>
    <cellStyle name="black &amp; red with no decimal 5 2 2" xfId="1106" xr:uid="{00000000-0005-0000-0000-0000B2030000}"/>
    <cellStyle name="black &amp; red with no decimal 5 2 3" xfId="1107" xr:uid="{00000000-0005-0000-0000-0000B3030000}"/>
    <cellStyle name="black &amp; red with no decimal 5 3" xfId="1108" xr:uid="{00000000-0005-0000-0000-0000B4030000}"/>
    <cellStyle name="black &amp; red with no decimal 5 3 2" xfId="1109" xr:uid="{00000000-0005-0000-0000-0000B5030000}"/>
    <cellStyle name="black &amp; red with no decimal 5 3 3" xfId="1110" xr:uid="{00000000-0005-0000-0000-0000B6030000}"/>
    <cellStyle name="black &amp; red with no decimal 5 4" xfId="1111" xr:uid="{00000000-0005-0000-0000-0000B7030000}"/>
    <cellStyle name="black &amp; red with no decimal 5 5" xfId="1112" xr:uid="{00000000-0005-0000-0000-0000B8030000}"/>
    <cellStyle name="black &amp; red with no decimal 5 6" xfId="1113" xr:uid="{00000000-0005-0000-0000-0000B9030000}"/>
    <cellStyle name="black &amp; red with no decimal 5 7" xfId="1114" xr:uid="{00000000-0005-0000-0000-0000BA030000}"/>
    <cellStyle name="black &amp; red with no decimal 5 8" xfId="1115" xr:uid="{00000000-0005-0000-0000-0000BB030000}"/>
    <cellStyle name="black &amp; red with no decimal 5 9" xfId="1116" xr:uid="{00000000-0005-0000-0000-0000BC030000}"/>
    <cellStyle name="black &amp; red with no decimal 6" xfId="1117" xr:uid="{00000000-0005-0000-0000-0000BD030000}"/>
    <cellStyle name="black &amp; red with no decimal 6 10" xfId="1118" xr:uid="{00000000-0005-0000-0000-0000BE030000}"/>
    <cellStyle name="black &amp; red with no decimal 6 11" xfId="1119" xr:uid="{00000000-0005-0000-0000-0000BF030000}"/>
    <cellStyle name="black &amp; red with no decimal 6 12" xfId="1120" xr:uid="{00000000-0005-0000-0000-0000C0030000}"/>
    <cellStyle name="black &amp; red with no decimal 6 13" xfId="1121" xr:uid="{00000000-0005-0000-0000-0000C1030000}"/>
    <cellStyle name="black &amp; red with no decimal 6 14" xfId="1122" xr:uid="{00000000-0005-0000-0000-0000C2030000}"/>
    <cellStyle name="black &amp; red with no decimal 6 15" xfId="1123" xr:uid="{00000000-0005-0000-0000-0000C3030000}"/>
    <cellStyle name="black &amp; red with no decimal 6 16" xfId="1124" xr:uid="{00000000-0005-0000-0000-0000C4030000}"/>
    <cellStyle name="black &amp; red with no decimal 6 2" xfId="1125" xr:uid="{00000000-0005-0000-0000-0000C5030000}"/>
    <cellStyle name="black &amp; red with no decimal 6 2 2" xfId="1126" xr:uid="{00000000-0005-0000-0000-0000C6030000}"/>
    <cellStyle name="black &amp; red with no decimal 6 2 3" xfId="1127" xr:uid="{00000000-0005-0000-0000-0000C7030000}"/>
    <cellStyle name="black &amp; red with no decimal 6 3" xfId="1128" xr:uid="{00000000-0005-0000-0000-0000C8030000}"/>
    <cellStyle name="black &amp; red with no decimal 6 3 2" xfId="1129" xr:uid="{00000000-0005-0000-0000-0000C9030000}"/>
    <cellStyle name="black &amp; red with no decimal 6 3 3" xfId="1130" xr:uid="{00000000-0005-0000-0000-0000CA030000}"/>
    <cellStyle name="black &amp; red with no decimal 6 4" xfId="1131" xr:uid="{00000000-0005-0000-0000-0000CB030000}"/>
    <cellStyle name="black &amp; red with no decimal 6 5" xfId="1132" xr:uid="{00000000-0005-0000-0000-0000CC030000}"/>
    <cellStyle name="black &amp; red with no decimal 6 6" xfId="1133" xr:uid="{00000000-0005-0000-0000-0000CD030000}"/>
    <cellStyle name="black &amp; red with no decimal 6 7" xfId="1134" xr:uid="{00000000-0005-0000-0000-0000CE030000}"/>
    <cellStyle name="black &amp; red with no decimal 6 8" xfId="1135" xr:uid="{00000000-0005-0000-0000-0000CF030000}"/>
    <cellStyle name="black &amp; red with no decimal 6 9" xfId="1136" xr:uid="{00000000-0005-0000-0000-0000D0030000}"/>
    <cellStyle name="black &amp; red with no decimal 7" xfId="1137" xr:uid="{00000000-0005-0000-0000-0000D1030000}"/>
    <cellStyle name="black &amp; red with no decimal 7 10" xfId="1138" xr:uid="{00000000-0005-0000-0000-0000D2030000}"/>
    <cellStyle name="black &amp; red with no decimal 7 11" xfId="1139" xr:uid="{00000000-0005-0000-0000-0000D3030000}"/>
    <cellStyle name="black &amp; red with no decimal 7 12" xfId="1140" xr:uid="{00000000-0005-0000-0000-0000D4030000}"/>
    <cellStyle name="black &amp; red with no decimal 7 13" xfId="1141" xr:uid="{00000000-0005-0000-0000-0000D5030000}"/>
    <cellStyle name="black &amp; red with no decimal 7 14" xfId="1142" xr:uid="{00000000-0005-0000-0000-0000D6030000}"/>
    <cellStyle name="black &amp; red with no decimal 7 15" xfId="1143" xr:uid="{00000000-0005-0000-0000-0000D7030000}"/>
    <cellStyle name="black &amp; red with no decimal 7 16" xfId="1144" xr:uid="{00000000-0005-0000-0000-0000D8030000}"/>
    <cellStyle name="black &amp; red with no decimal 7 2" xfId="1145" xr:uid="{00000000-0005-0000-0000-0000D9030000}"/>
    <cellStyle name="black &amp; red with no decimal 7 2 2" xfId="1146" xr:uid="{00000000-0005-0000-0000-0000DA030000}"/>
    <cellStyle name="black &amp; red with no decimal 7 2 3" xfId="1147" xr:uid="{00000000-0005-0000-0000-0000DB030000}"/>
    <cellStyle name="black &amp; red with no decimal 7 3" xfId="1148" xr:uid="{00000000-0005-0000-0000-0000DC030000}"/>
    <cellStyle name="black &amp; red with no decimal 7 3 2" xfId="1149" xr:uid="{00000000-0005-0000-0000-0000DD030000}"/>
    <cellStyle name="black &amp; red with no decimal 7 3 3" xfId="1150" xr:uid="{00000000-0005-0000-0000-0000DE030000}"/>
    <cellStyle name="black &amp; red with no decimal 7 4" xfId="1151" xr:uid="{00000000-0005-0000-0000-0000DF030000}"/>
    <cellStyle name="black &amp; red with no decimal 7 5" xfId="1152" xr:uid="{00000000-0005-0000-0000-0000E0030000}"/>
    <cellStyle name="black &amp; red with no decimal 7 6" xfId="1153" xr:uid="{00000000-0005-0000-0000-0000E1030000}"/>
    <cellStyle name="black &amp; red with no decimal 7 7" xfId="1154" xr:uid="{00000000-0005-0000-0000-0000E2030000}"/>
    <cellStyle name="black &amp; red with no decimal 7 8" xfId="1155" xr:uid="{00000000-0005-0000-0000-0000E3030000}"/>
    <cellStyle name="black &amp; red with no decimal 7 9" xfId="1156" xr:uid="{00000000-0005-0000-0000-0000E4030000}"/>
    <cellStyle name="black &amp; red with no decimal 8" xfId="1157" xr:uid="{00000000-0005-0000-0000-0000E5030000}"/>
    <cellStyle name="black &amp; red with no decimal 8 2" xfId="1158" xr:uid="{00000000-0005-0000-0000-0000E6030000}"/>
    <cellStyle name="black &amp; red with no decimal 8 3" xfId="1159" xr:uid="{00000000-0005-0000-0000-0000E7030000}"/>
    <cellStyle name="black &amp; red with no decimal 9" xfId="1160" xr:uid="{00000000-0005-0000-0000-0000E8030000}"/>
    <cellStyle name="black &amp; red with no decimal 9 2" xfId="1161" xr:uid="{00000000-0005-0000-0000-0000E9030000}"/>
    <cellStyle name="black &amp; red with no decimal 9 3" xfId="1162" xr:uid="{00000000-0005-0000-0000-0000EA030000}"/>
    <cellStyle name="Blue" xfId="1163" xr:uid="{00000000-0005-0000-0000-0000EB030000}"/>
    <cellStyle name="Blue Heading" xfId="1164" xr:uid="{00000000-0005-0000-0000-0000EC030000}"/>
    <cellStyle name="Blue Heading 2" xfId="1165" xr:uid="{00000000-0005-0000-0000-0000ED030000}"/>
    <cellStyle name="Blue Heading 3" xfId="1166" xr:uid="{00000000-0005-0000-0000-0000EE030000}"/>
    <cellStyle name="Blue Heading 4" xfId="1167" xr:uid="{00000000-0005-0000-0000-0000EF030000}"/>
    <cellStyle name="Blue Heading 5" xfId="1168" xr:uid="{00000000-0005-0000-0000-0000F0030000}"/>
    <cellStyle name="Blue Heading 6" xfId="1169" xr:uid="{00000000-0005-0000-0000-0000F1030000}"/>
    <cellStyle name="Blue Heading 7" xfId="1170" xr:uid="{00000000-0005-0000-0000-0000F2030000}"/>
    <cellStyle name="Blue Heading 8" xfId="1171" xr:uid="{00000000-0005-0000-0000-0000F3030000}"/>
    <cellStyle name="Bold GHG Numbers (0.00)" xfId="83" xr:uid="{00000000-0005-0000-0000-0000F4030000}"/>
    <cellStyle name="Bottom Green Total Heading" xfId="1172" xr:uid="{00000000-0005-0000-0000-0000F5030000}"/>
    <cellStyle name="brakcomma" xfId="1173" xr:uid="{00000000-0005-0000-0000-0000F6030000}"/>
    <cellStyle name="brakcomma 10" xfId="1174" xr:uid="{00000000-0005-0000-0000-0000F7030000}"/>
    <cellStyle name="brakcomma 11" xfId="1175" xr:uid="{00000000-0005-0000-0000-0000F8030000}"/>
    <cellStyle name="brakcomma 12" xfId="1176" xr:uid="{00000000-0005-0000-0000-0000F9030000}"/>
    <cellStyle name="brakcomma 13" xfId="1177" xr:uid="{00000000-0005-0000-0000-0000FA030000}"/>
    <cellStyle name="brakcomma 14" xfId="1178" xr:uid="{00000000-0005-0000-0000-0000FB030000}"/>
    <cellStyle name="brakcomma 15" xfId="1179" xr:uid="{00000000-0005-0000-0000-0000FC030000}"/>
    <cellStyle name="brakcomma 16" xfId="1180" xr:uid="{00000000-0005-0000-0000-0000FD030000}"/>
    <cellStyle name="brakcomma 17" xfId="1181" xr:uid="{00000000-0005-0000-0000-0000FE030000}"/>
    <cellStyle name="brakcomma 18" xfId="1182" xr:uid="{00000000-0005-0000-0000-0000FF030000}"/>
    <cellStyle name="brakcomma 19" xfId="1183" xr:uid="{00000000-0005-0000-0000-000000040000}"/>
    <cellStyle name="brakcomma 2" xfId="1184" xr:uid="{00000000-0005-0000-0000-000001040000}"/>
    <cellStyle name="brakcomma 20" xfId="1185" xr:uid="{00000000-0005-0000-0000-000002040000}"/>
    <cellStyle name="brakcomma 21" xfId="1186" xr:uid="{00000000-0005-0000-0000-000003040000}"/>
    <cellStyle name="brakcomma 22" xfId="1187" xr:uid="{00000000-0005-0000-0000-000004040000}"/>
    <cellStyle name="brakcomma 23" xfId="1188" xr:uid="{00000000-0005-0000-0000-000005040000}"/>
    <cellStyle name="brakcomma 24" xfId="1189" xr:uid="{00000000-0005-0000-0000-000006040000}"/>
    <cellStyle name="brakcomma 3" xfId="1190" xr:uid="{00000000-0005-0000-0000-000007040000}"/>
    <cellStyle name="brakcomma 4" xfId="1191" xr:uid="{00000000-0005-0000-0000-000008040000}"/>
    <cellStyle name="brakcomma 5" xfId="1192" xr:uid="{00000000-0005-0000-0000-000009040000}"/>
    <cellStyle name="brakcomma 6" xfId="1193" xr:uid="{00000000-0005-0000-0000-00000A040000}"/>
    <cellStyle name="brakcomma 7" xfId="1194" xr:uid="{00000000-0005-0000-0000-00000B040000}"/>
    <cellStyle name="brakcomma 8" xfId="1195" xr:uid="{00000000-0005-0000-0000-00000C040000}"/>
    <cellStyle name="brakcomma 9" xfId="1196" xr:uid="{00000000-0005-0000-0000-00000D040000}"/>
    <cellStyle name="Buena" xfId="1197" xr:uid="{00000000-0005-0000-0000-00000E040000}"/>
    <cellStyle name="Business Description" xfId="1198" xr:uid="{00000000-0005-0000-0000-00000F040000}"/>
    <cellStyle name="bwcomma" xfId="1199" xr:uid="{00000000-0005-0000-0000-000010040000}"/>
    <cellStyle name="bwcomma 10" xfId="1200" xr:uid="{00000000-0005-0000-0000-000011040000}"/>
    <cellStyle name="bwcomma 11" xfId="1201" xr:uid="{00000000-0005-0000-0000-000012040000}"/>
    <cellStyle name="bwcomma 12" xfId="1202" xr:uid="{00000000-0005-0000-0000-000013040000}"/>
    <cellStyle name="bwcomma 13" xfId="1203" xr:uid="{00000000-0005-0000-0000-000014040000}"/>
    <cellStyle name="bwcomma 14" xfId="1204" xr:uid="{00000000-0005-0000-0000-000015040000}"/>
    <cellStyle name="bwcomma 15" xfId="1205" xr:uid="{00000000-0005-0000-0000-000016040000}"/>
    <cellStyle name="bwcomma 16" xfId="1206" xr:uid="{00000000-0005-0000-0000-000017040000}"/>
    <cellStyle name="bwcomma 17" xfId="1207" xr:uid="{00000000-0005-0000-0000-000018040000}"/>
    <cellStyle name="bwcomma 18" xfId="1208" xr:uid="{00000000-0005-0000-0000-000019040000}"/>
    <cellStyle name="bwcomma 19" xfId="1209" xr:uid="{00000000-0005-0000-0000-00001A040000}"/>
    <cellStyle name="bwcomma 2" xfId="1210" xr:uid="{00000000-0005-0000-0000-00001B040000}"/>
    <cellStyle name="bwcomma 20" xfId="1211" xr:uid="{00000000-0005-0000-0000-00001C040000}"/>
    <cellStyle name="bwcomma 21" xfId="1212" xr:uid="{00000000-0005-0000-0000-00001D040000}"/>
    <cellStyle name="bwcomma 22" xfId="1213" xr:uid="{00000000-0005-0000-0000-00001E040000}"/>
    <cellStyle name="bwcomma 23" xfId="1214" xr:uid="{00000000-0005-0000-0000-00001F040000}"/>
    <cellStyle name="bwcomma 24" xfId="1215" xr:uid="{00000000-0005-0000-0000-000020040000}"/>
    <cellStyle name="bwcomma 3" xfId="1216" xr:uid="{00000000-0005-0000-0000-000021040000}"/>
    <cellStyle name="bwcomma 4" xfId="1217" xr:uid="{00000000-0005-0000-0000-000022040000}"/>
    <cellStyle name="bwcomma 5" xfId="1218" xr:uid="{00000000-0005-0000-0000-000023040000}"/>
    <cellStyle name="bwcomma 6" xfId="1219" xr:uid="{00000000-0005-0000-0000-000024040000}"/>
    <cellStyle name="bwcomma 7" xfId="1220" xr:uid="{00000000-0005-0000-0000-000025040000}"/>
    <cellStyle name="bwcomma 8" xfId="1221" xr:uid="{00000000-0005-0000-0000-000026040000}"/>
    <cellStyle name="bwcomma 9" xfId="1222" xr:uid="{00000000-0005-0000-0000-000027040000}"/>
    <cellStyle name="Calculation" xfId="19" builtinId="22" customBuiltin="1"/>
    <cellStyle name="Calculation 2" xfId="84" xr:uid="{00000000-0005-0000-0000-000029040000}"/>
    <cellStyle name="Calculation 2 10" xfId="1223" xr:uid="{00000000-0005-0000-0000-00002A040000}"/>
    <cellStyle name="Calculation 2 10 2" xfId="1224" xr:uid="{00000000-0005-0000-0000-00002B040000}"/>
    <cellStyle name="Calculation 2 11" xfId="1225" xr:uid="{00000000-0005-0000-0000-00002C040000}"/>
    <cellStyle name="Calculation 2 11 2" xfId="1226" xr:uid="{00000000-0005-0000-0000-00002D040000}"/>
    <cellStyle name="Calculation 2 12" xfId="1227" xr:uid="{00000000-0005-0000-0000-00002E040000}"/>
    <cellStyle name="Calculation 2 12 2" xfId="1228" xr:uid="{00000000-0005-0000-0000-00002F040000}"/>
    <cellStyle name="Calculation 2 13" xfId="1229" xr:uid="{00000000-0005-0000-0000-000030040000}"/>
    <cellStyle name="Calculation 2 13 2" xfId="1230" xr:uid="{00000000-0005-0000-0000-000031040000}"/>
    <cellStyle name="Calculation 2 14" xfId="1231" xr:uid="{00000000-0005-0000-0000-000032040000}"/>
    <cellStyle name="Calculation 2 14 2" xfId="1232" xr:uid="{00000000-0005-0000-0000-000033040000}"/>
    <cellStyle name="Calculation 2 15" xfId="1233" xr:uid="{00000000-0005-0000-0000-000034040000}"/>
    <cellStyle name="Calculation 2 15 2" xfId="1234" xr:uid="{00000000-0005-0000-0000-000035040000}"/>
    <cellStyle name="Calculation 2 16" xfId="1235" xr:uid="{00000000-0005-0000-0000-000036040000}"/>
    <cellStyle name="Calculation 2 16 2" xfId="1236" xr:uid="{00000000-0005-0000-0000-000037040000}"/>
    <cellStyle name="Calculation 2 17" xfId="1237" xr:uid="{00000000-0005-0000-0000-000038040000}"/>
    <cellStyle name="Calculation 2 2" xfId="1238" xr:uid="{00000000-0005-0000-0000-000039040000}"/>
    <cellStyle name="Calculation 2 2 2" xfId="1239" xr:uid="{00000000-0005-0000-0000-00003A040000}"/>
    <cellStyle name="Calculation 2 2 2 2" xfId="1240" xr:uid="{00000000-0005-0000-0000-00003B040000}"/>
    <cellStyle name="Calculation 2 2 2 3" xfId="1241" xr:uid="{00000000-0005-0000-0000-00003C040000}"/>
    <cellStyle name="Calculation 2 2 3" xfId="1242" xr:uid="{00000000-0005-0000-0000-00003D040000}"/>
    <cellStyle name="Calculation 2 2 4" xfId="1243" xr:uid="{00000000-0005-0000-0000-00003E040000}"/>
    <cellStyle name="Calculation 2 2 4 2" xfId="1244" xr:uid="{00000000-0005-0000-0000-00003F040000}"/>
    <cellStyle name="Calculation 2 2 5" xfId="1245" xr:uid="{00000000-0005-0000-0000-000040040000}"/>
    <cellStyle name="Calculation 2 2 5 2" xfId="1246" xr:uid="{00000000-0005-0000-0000-000041040000}"/>
    <cellStyle name="Calculation 2 2 6" xfId="1247" xr:uid="{00000000-0005-0000-0000-000042040000}"/>
    <cellStyle name="Calculation 2 3" xfId="1248" xr:uid="{00000000-0005-0000-0000-000043040000}"/>
    <cellStyle name="Calculation 2 4" xfId="1249" xr:uid="{00000000-0005-0000-0000-000044040000}"/>
    <cellStyle name="Calculation 2 4 2" xfId="1250" xr:uid="{00000000-0005-0000-0000-000045040000}"/>
    <cellStyle name="Calculation 2 4 2 2" xfId="1251" xr:uid="{00000000-0005-0000-0000-000046040000}"/>
    <cellStyle name="Calculation 2 4 3" xfId="1252" xr:uid="{00000000-0005-0000-0000-000047040000}"/>
    <cellStyle name="Calculation 2 4 3 2" xfId="1253" xr:uid="{00000000-0005-0000-0000-000048040000}"/>
    <cellStyle name="Calculation 2 4 4" xfId="1254" xr:uid="{00000000-0005-0000-0000-000049040000}"/>
    <cellStyle name="Calculation 2 5" xfId="1255" xr:uid="{00000000-0005-0000-0000-00004A040000}"/>
    <cellStyle name="Calculation 2 5 2" xfId="1256" xr:uid="{00000000-0005-0000-0000-00004B040000}"/>
    <cellStyle name="Calculation 2 6" xfId="1257" xr:uid="{00000000-0005-0000-0000-00004C040000}"/>
    <cellStyle name="Calculation 2 6 2" xfId="1258" xr:uid="{00000000-0005-0000-0000-00004D040000}"/>
    <cellStyle name="Calculation 2 7" xfId="1259" xr:uid="{00000000-0005-0000-0000-00004E040000}"/>
    <cellStyle name="Calculation 2 7 2" xfId="1260" xr:uid="{00000000-0005-0000-0000-00004F040000}"/>
    <cellStyle name="Calculation 2 8" xfId="1261" xr:uid="{00000000-0005-0000-0000-000050040000}"/>
    <cellStyle name="Calculation 2 8 2" xfId="1262" xr:uid="{00000000-0005-0000-0000-000051040000}"/>
    <cellStyle name="Calculation 2 9" xfId="1263" xr:uid="{00000000-0005-0000-0000-000052040000}"/>
    <cellStyle name="Calculation 2 9 2" xfId="1264" xr:uid="{00000000-0005-0000-0000-000053040000}"/>
    <cellStyle name="Calculation 3" xfId="1265" xr:uid="{00000000-0005-0000-0000-000054040000}"/>
    <cellStyle name="Calculation 3 2" xfId="1266" xr:uid="{00000000-0005-0000-0000-000055040000}"/>
    <cellStyle name="Calculation 3 2 2" xfId="1267" xr:uid="{00000000-0005-0000-0000-000056040000}"/>
    <cellStyle name="Calculation 3 2 2 2" xfId="1268" xr:uid="{00000000-0005-0000-0000-000057040000}"/>
    <cellStyle name="Calculation 3 2 3" xfId="1269" xr:uid="{00000000-0005-0000-0000-000058040000}"/>
    <cellStyle name="Calculation 3 2 3 2" xfId="1270" xr:uid="{00000000-0005-0000-0000-000059040000}"/>
    <cellStyle name="Calculation 3 2 4" xfId="1271" xr:uid="{00000000-0005-0000-0000-00005A040000}"/>
    <cellStyle name="Calculation 3 3" xfId="1272" xr:uid="{00000000-0005-0000-0000-00005B040000}"/>
    <cellStyle name="Calculation 3 3 2" xfId="1273" xr:uid="{00000000-0005-0000-0000-00005C040000}"/>
    <cellStyle name="Calculation 3 3 2 2" xfId="1274" xr:uid="{00000000-0005-0000-0000-00005D040000}"/>
    <cellStyle name="Calculation 3 3 3" xfId="1275" xr:uid="{00000000-0005-0000-0000-00005E040000}"/>
    <cellStyle name="Calculation 3 3 3 2" xfId="1276" xr:uid="{00000000-0005-0000-0000-00005F040000}"/>
    <cellStyle name="Calculation 3 3 4" xfId="1277" xr:uid="{00000000-0005-0000-0000-000060040000}"/>
    <cellStyle name="Calculation 3 4" xfId="1278" xr:uid="{00000000-0005-0000-0000-000061040000}"/>
    <cellStyle name="Calculation 3 4 2" xfId="1279" xr:uid="{00000000-0005-0000-0000-000062040000}"/>
    <cellStyle name="Calculation 3 5" xfId="1280" xr:uid="{00000000-0005-0000-0000-000063040000}"/>
    <cellStyle name="Calculation 3 5 2" xfId="1281" xr:uid="{00000000-0005-0000-0000-000064040000}"/>
    <cellStyle name="Calculation 3 6" xfId="1282" xr:uid="{00000000-0005-0000-0000-000065040000}"/>
    <cellStyle name="Calculation 4" xfId="1283" xr:uid="{00000000-0005-0000-0000-000066040000}"/>
    <cellStyle name="Calculation 4 2" xfId="1284" xr:uid="{00000000-0005-0000-0000-000067040000}"/>
    <cellStyle name="Calculation 4 2 2" xfId="1285" xr:uid="{00000000-0005-0000-0000-000068040000}"/>
    <cellStyle name="Calculation 4 2 2 2" xfId="1286" xr:uid="{00000000-0005-0000-0000-000069040000}"/>
    <cellStyle name="Calculation 4 2 3" xfId="1287" xr:uid="{00000000-0005-0000-0000-00006A040000}"/>
    <cellStyle name="Calculation 4 2 3 2" xfId="1288" xr:uid="{00000000-0005-0000-0000-00006B040000}"/>
    <cellStyle name="Calculation 4 2 4" xfId="1289" xr:uid="{00000000-0005-0000-0000-00006C040000}"/>
    <cellStyle name="Calculation 4 3" xfId="1290" xr:uid="{00000000-0005-0000-0000-00006D040000}"/>
    <cellStyle name="Calculation 4 3 2" xfId="1291" xr:uid="{00000000-0005-0000-0000-00006E040000}"/>
    <cellStyle name="Calculation 4 3 2 2" xfId="1292" xr:uid="{00000000-0005-0000-0000-00006F040000}"/>
    <cellStyle name="Calculation 4 3 3" xfId="1293" xr:uid="{00000000-0005-0000-0000-000070040000}"/>
    <cellStyle name="Calculation 4 3 3 2" xfId="1294" xr:uid="{00000000-0005-0000-0000-000071040000}"/>
    <cellStyle name="Calculation 4 3 4" xfId="1295" xr:uid="{00000000-0005-0000-0000-000072040000}"/>
    <cellStyle name="Calculation 4 4" xfId="1296" xr:uid="{00000000-0005-0000-0000-000073040000}"/>
    <cellStyle name="Calculation 4 4 2" xfId="1297" xr:uid="{00000000-0005-0000-0000-000074040000}"/>
    <cellStyle name="Calculation 4 5" xfId="1298" xr:uid="{00000000-0005-0000-0000-000075040000}"/>
    <cellStyle name="Calculation 4 5 2" xfId="1299" xr:uid="{00000000-0005-0000-0000-000076040000}"/>
    <cellStyle name="Calculation 5" xfId="1300" xr:uid="{00000000-0005-0000-0000-000077040000}"/>
    <cellStyle name="Calculation 5 2" xfId="1301" xr:uid="{00000000-0005-0000-0000-000078040000}"/>
    <cellStyle name="Calculation 5 2 2" xfId="1302" xr:uid="{00000000-0005-0000-0000-000079040000}"/>
    <cellStyle name="Calculation 5 3" xfId="1303" xr:uid="{00000000-0005-0000-0000-00007A040000}"/>
    <cellStyle name="Calculation 5 3 2" xfId="1304" xr:uid="{00000000-0005-0000-0000-00007B040000}"/>
    <cellStyle name="Calculation 5 4" xfId="1305" xr:uid="{00000000-0005-0000-0000-00007C040000}"/>
    <cellStyle name="Calculation 6" xfId="1306" xr:uid="{00000000-0005-0000-0000-00007D040000}"/>
    <cellStyle name="Calculation 6 2" xfId="1307" xr:uid="{00000000-0005-0000-0000-00007E040000}"/>
    <cellStyle name="Calculation 7" xfId="1308" xr:uid="{00000000-0005-0000-0000-00007F040000}"/>
    <cellStyle name="Calculation 7 2" xfId="1309" xr:uid="{00000000-0005-0000-0000-000080040000}"/>
    <cellStyle name="Calculation 8" xfId="1310" xr:uid="{00000000-0005-0000-0000-000081040000}"/>
    <cellStyle name="Cálculo" xfId="1311" xr:uid="{00000000-0005-0000-0000-000082040000}"/>
    <cellStyle name="Cálculo 10" xfId="1312" xr:uid="{00000000-0005-0000-0000-000083040000}"/>
    <cellStyle name="Cálculo 10 2" xfId="1313" xr:uid="{00000000-0005-0000-0000-000084040000}"/>
    <cellStyle name="Cálculo 11" xfId="1314" xr:uid="{00000000-0005-0000-0000-000085040000}"/>
    <cellStyle name="Cálculo 11 2" xfId="1315" xr:uid="{00000000-0005-0000-0000-000086040000}"/>
    <cellStyle name="Cálculo 12" xfId="1316" xr:uid="{00000000-0005-0000-0000-000087040000}"/>
    <cellStyle name="Cálculo 12 2" xfId="1317" xr:uid="{00000000-0005-0000-0000-000088040000}"/>
    <cellStyle name="Cálculo 13" xfId="1318" xr:uid="{00000000-0005-0000-0000-000089040000}"/>
    <cellStyle name="Cálculo 13 2" xfId="1319" xr:uid="{00000000-0005-0000-0000-00008A040000}"/>
    <cellStyle name="Cálculo 14" xfId="1320" xr:uid="{00000000-0005-0000-0000-00008B040000}"/>
    <cellStyle name="Cálculo 14 2" xfId="1321" xr:uid="{00000000-0005-0000-0000-00008C040000}"/>
    <cellStyle name="Cálculo 15" xfId="1322" xr:uid="{00000000-0005-0000-0000-00008D040000}"/>
    <cellStyle name="Cálculo 15 2" xfId="1323" xr:uid="{00000000-0005-0000-0000-00008E040000}"/>
    <cellStyle name="Cálculo 16" xfId="1324" xr:uid="{00000000-0005-0000-0000-00008F040000}"/>
    <cellStyle name="Cálculo 16 2" xfId="1325" xr:uid="{00000000-0005-0000-0000-000090040000}"/>
    <cellStyle name="Cálculo 17" xfId="1326" xr:uid="{00000000-0005-0000-0000-000091040000}"/>
    <cellStyle name="Cálculo 17 2" xfId="1327" xr:uid="{00000000-0005-0000-0000-000092040000}"/>
    <cellStyle name="Cálculo 18" xfId="1328" xr:uid="{00000000-0005-0000-0000-000093040000}"/>
    <cellStyle name="Cálculo 18 2" xfId="1329" xr:uid="{00000000-0005-0000-0000-000094040000}"/>
    <cellStyle name="Cálculo 19" xfId="1330" xr:uid="{00000000-0005-0000-0000-000095040000}"/>
    <cellStyle name="Cálculo 19 2" xfId="1331" xr:uid="{00000000-0005-0000-0000-000096040000}"/>
    <cellStyle name="Cálculo 2" xfId="1332" xr:uid="{00000000-0005-0000-0000-000097040000}"/>
    <cellStyle name="Cálculo 2 10" xfId="1333" xr:uid="{00000000-0005-0000-0000-000098040000}"/>
    <cellStyle name="Cálculo 2 10 2" xfId="1334" xr:uid="{00000000-0005-0000-0000-000099040000}"/>
    <cellStyle name="Cálculo 2 11" xfId="1335" xr:uid="{00000000-0005-0000-0000-00009A040000}"/>
    <cellStyle name="Cálculo 2 11 2" xfId="1336" xr:uid="{00000000-0005-0000-0000-00009B040000}"/>
    <cellStyle name="Cálculo 2 12" xfId="1337" xr:uid="{00000000-0005-0000-0000-00009C040000}"/>
    <cellStyle name="Cálculo 2 12 2" xfId="1338" xr:uid="{00000000-0005-0000-0000-00009D040000}"/>
    <cellStyle name="Cálculo 2 13" xfId="1339" xr:uid="{00000000-0005-0000-0000-00009E040000}"/>
    <cellStyle name="Cálculo 2 13 2" xfId="1340" xr:uid="{00000000-0005-0000-0000-00009F040000}"/>
    <cellStyle name="Cálculo 2 14" xfId="1341" xr:uid="{00000000-0005-0000-0000-0000A0040000}"/>
    <cellStyle name="Cálculo 2 14 2" xfId="1342" xr:uid="{00000000-0005-0000-0000-0000A1040000}"/>
    <cellStyle name="Cálculo 2 15" xfId="1343" xr:uid="{00000000-0005-0000-0000-0000A2040000}"/>
    <cellStyle name="Cálculo 2 15 2" xfId="1344" xr:uid="{00000000-0005-0000-0000-0000A3040000}"/>
    <cellStyle name="Cálculo 2 16" xfId="1345" xr:uid="{00000000-0005-0000-0000-0000A4040000}"/>
    <cellStyle name="Cálculo 2 16 2" xfId="1346" xr:uid="{00000000-0005-0000-0000-0000A5040000}"/>
    <cellStyle name="Cálculo 2 17" xfId="1347" xr:uid="{00000000-0005-0000-0000-0000A6040000}"/>
    <cellStyle name="Cálculo 2 2" xfId="1348" xr:uid="{00000000-0005-0000-0000-0000A7040000}"/>
    <cellStyle name="Cálculo 2 2 10" xfId="1349" xr:uid="{00000000-0005-0000-0000-0000A8040000}"/>
    <cellStyle name="Cálculo 2 2 10 2" xfId="1350" xr:uid="{00000000-0005-0000-0000-0000A9040000}"/>
    <cellStyle name="Cálculo 2 2 11" xfId="1351" xr:uid="{00000000-0005-0000-0000-0000AA040000}"/>
    <cellStyle name="Cálculo 2 2 11 2" xfId="1352" xr:uid="{00000000-0005-0000-0000-0000AB040000}"/>
    <cellStyle name="Cálculo 2 2 12" xfId="1353" xr:uid="{00000000-0005-0000-0000-0000AC040000}"/>
    <cellStyle name="Cálculo 2 2 12 2" xfId="1354" xr:uid="{00000000-0005-0000-0000-0000AD040000}"/>
    <cellStyle name="Cálculo 2 2 13" xfId="1355" xr:uid="{00000000-0005-0000-0000-0000AE040000}"/>
    <cellStyle name="Cálculo 2 2 13 2" xfId="1356" xr:uid="{00000000-0005-0000-0000-0000AF040000}"/>
    <cellStyle name="Cálculo 2 2 14" xfId="1357" xr:uid="{00000000-0005-0000-0000-0000B0040000}"/>
    <cellStyle name="Cálculo 2 2 14 2" xfId="1358" xr:uid="{00000000-0005-0000-0000-0000B1040000}"/>
    <cellStyle name="Cálculo 2 2 15" xfId="1359" xr:uid="{00000000-0005-0000-0000-0000B2040000}"/>
    <cellStyle name="Cálculo 2 2 2" xfId="1360" xr:uid="{00000000-0005-0000-0000-0000B3040000}"/>
    <cellStyle name="Cálculo 2 2 2 2" xfId="1361" xr:uid="{00000000-0005-0000-0000-0000B4040000}"/>
    <cellStyle name="Cálculo 2 2 3" xfId="1362" xr:uid="{00000000-0005-0000-0000-0000B5040000}"/>
    <cellStyle name="Cálculo 2 2 3 2" xfId="1363" xr:uid="{00000000-0005-0000-0000-0000B6040000}"/>
    <cellStyle name="Cálculo 2 2 4" xfId="1364" xr:uid="{00000000-0005-0000-0000-0000B7040000}"/>
    <cellStyle name="Cálculo 2 2 4 2" xfId="1365" xr:uid="{00000000-0005-0000-0000-0000B8040000}"/>
    <cellStyle name="Cálculo 2 2 5" xfId="1366" xr:uid="{00000000-0005-0000-0000-0000B9040000}"/>
    <cellStyle name="Cálculo 2 2 5 2" xfId="1367" xr:uid="{00000000-0005-0000-0000-0000BA040000}"/>
    <cellStyle name="Cálculo 2 2 6" xfId="1368" xr:uid="{00000000-0005-0000-0000-0000BB040000}"/>
    <cellStyle name="Cálculo 2 2 6 2" xfId="1369" xr:uid="{00000000-0005-0000-0000-0000BC040000}"/>
    <cellStyle name="Cálculo 2 2 7" xfId="1370" xr:uid="{00000000-0005-0000-0000-0000BD040000}"/>
    <cellStyle name="Cálculo 2 2 7 2" xfId="1371" xr:uid="{00000000-0005-0000-0000-0000BE040000}"/>
    <cellStyle name="Cálculo 2 2 8" xfId="1372" xr:uid="{00000000-0005-0000-0000-0000BF040000}"/>
    <cellStyle name="Cálculo 2 2 8 2" xfId="1373" xr:uid="{00000000-0005-0000-0000-0000C0040000}"/>
    <cellStyle name="Cálculo 2 2 9" xfId="1374" xr:uid="{00000000-0005-0000-0000-0000C1040000}"/>
    <cellStyle name="Cálculo 2 2 9 2" xfId="1375" xr:uid="{00000000-0005-0000-0000-0000C2040000}"/>
    <cellStyle name="Cálculo 2 3" xfId="1376" xr:uid="{00000000-0005-0000-0000-0000C3040000}"/>
    <cellStyle name="Cálculo 2 3 2" xfId="1377" xr:uid="{00000000-0005-0000-0000-0000C4040000}"/>
    <cellStyle name="Cálculo 2 3 2 2" xfId="1378" xr:uid="{00000000-0005-0000-0000-0000C5040000}"/>
    <cellStyle name="Cálculo 2 3 3" xfId="1379" xr:uid="{00000000-0005-0000-0000-0000C6040000}"/>
    <cellStyle name="Cálculo 2 3 3 2" xfId="1380" xr:uid="{00000000-0005-0000-0000-0000C7040000}"/>
    <cellStyle name="Cálculo 2 3 4" xfId="1381" xr:uid="{00000000-0005-0000-0000-0000C8040000}"/>
    <cellStyle name="Cálculo 2 4" xfId="1382" xr:uid="{00000000-0005-0000-0000-0000C9040000}"/>
    <cellStyle name="Cálculo 2 4 2" xfId="1383" xr:uid="{00000000-0005-0000-0000-0000CA040000}"/>
    <cellStyle name="Cálculo 2 5" xfId="1384" xr:uid="{00000000-0005-0000-0000-0000CB040000}"/>
    <cellStyle name="Cálculo 2 5 2" xfId="1385" xr:uid="{00000000-0005-0000-0000-0000CC040000}"/>
    <cellStyle name="Cálculo 2 6" xfId="1386" xr:uid="{00000000-0005-0000-0000-0000CD040000}"/>
    <cellStyle name="Cálculo 2 6 2" xfId="1387" xr:uid="{00000000-0005-0000-0000-0000CE040000}"/>
    <cellStyle name="Cálculo 2 7" xfId="1388" xr:uid="{00000000-0005-0000-0000-0000CF040000}"/>
    <cellStyle name="Cálculo 2 7 2" xfId="1389" xr:uid="{00000000-0005-0000-0000-0000D0040000}"/>
    <cellStyle name="Cálculo 2 8" xfId="1390" xr:uid="{00000000-0005-0000-0000-0000D1040000}"/>
    <cellStyle name="Cálculo 2 8 2" xfId="1391" xr:uid="{00000000-0005-0000-0000-0000D2040000}"/>
    <cellStyle name="Cálculo 2 9" xfId="1392" xr:uid="{00000000-0005-0000-0000-0000D3040000}"/>
    <cellStyle name="Cálculo 2 9 2" xfId="1393" xr:uid="{00000000-0005-0000-0000-0000D4040000}"/>
    <cellStyle name="Cálculo 20" xfId="1394" xr:uid="{00000000-0005-0000-0000-0000D5040000}"/>
    <cellStyle name="Cálculo 20 2" xfId="1395" xr:uid="{00000000-0005-0000-0000-0000D6040000}"/>
    <cellStyle name="Cálculo 21" xfId="1396" xr:uid="{00000000-0005-0000-0000-0000D7040000}"/>
    <cellStyle name="Cálculo 21 2" xfId="1397" xr:uid="{00000000-0005-0000-0000-0000D8040000}"/>
    <cellStyle name="Cálculo 22" xfId="1398" xr:uid="{00000000-0005-0000-0000-0000D9040000}"/>
    <cellStyle name="Cálculo 22 2" xfId="1399" xr:uid="{00000000-0005-0000-0000-0000DA040000}"/>
    <cellStyle name="Cálculo 3" xfId="1400" xr:uid="{00000000-0005-0000-0000-0000DB040000}"/>
    <cellStyle name="Cálculo 3 10" xfId="1401" xr:uid="{00000000-0005-0000-0000-0000DC040000}"/>
    <cellStyle name="Cálculo 3 10 2" xfId="1402" xr:uid="{00000000-0005-0000-0000-0000DD040000}"/>
    <cellStyle name="Cálculo 3 11" xfId="1403" xr:uid="{00000000-0005-0000-0000-0000DE040000}"/>
    <cellStyle name="Cálculo 3 11 2" xfId="1404" xr:uid="{00000000-0005-0000-0000-0000DF040000}"/>
    <cellStyle name="Cálculo 3 12" xfId="1405" xr:uid="{00000000-0005-0000-0000-0000E0040000}"/>
    <cellStyle name="Cálculo 3 12 2" xfId="1406" xr:uid="{00000000-0005-0000-0000-0000E1040000}"/>
    <cellStyle name="Cálculo 3 13" xfId="1407" xr:uid="{00000000-0005-0000-0000-0000E2040000}"/>
    <cellStyle name="Cálculo 3 13 2" xfId="1408" xr:uid="{00000000-0005-0000-0000-0000E3040000}"/>
    <cellStyle name="Cálculo 3 14" xfId="1409" xr:uid="{00000000-0005-0000-0000-0000E4040000}"/>
    <cellStyle name="Cálculo 3 14 2" xfId="1410" xr:uid="{00000000-0005-0000-0000-0000E5040000}"/>
    <cellStyle name="Cálculo 3 15" xfId="1411" xr:uid="{00000000-0005-0000-0000-0000E6040000}"/>
    <cellStyle name="Cálculo 3 15 2" xfId="1412" xr:uid="{00000000-0005-0000-0000-0000E7040000}"/>
    <cellStyle name="Cálculo 3 16" xfId="1413" xr:uid="{00000000-0005-0000-0000-0000E8040000}"/>
    <cellStyle name="Cálculo 3 16 2" xfId="1414" xr:uid="{00000000-0005-0000-0000-0000E9040000}"/>
    <cellStyle name="Cálculo 3 17" xfId="1415" xr:uid="{00000000-0005-0000-0000-0000EA040000}"/>
    <cellStyle name="Cálculo 3 2" xfId="1416" xr:uid="{00000000-0005-0000-0000-0000EB040000}"/>
    <cellStyle name="Cálculo 3 2 10" xfId="1417" xr:uid="{00000000-0005-0000-0000-0000EC040000}"/>
    <cellStyle name="Cálculo 3 2 10 2" xfId="1418" xr:uid="{00000000-0005-0000-0000-0000ED040000}"/>
    <cellStyle name="Cálculo 3 2 11" xfId="1419" xr:uid="{00000000-0005-0000-0000-0000EE040000}"/>
    <cellStyle name="Cálculo 3 2 11 2" xfId="1420" xr:uid="{00000000-0005-0000-0000-0000EF040000}"/>
    <cellStyle name="Cálculo 3 2 12" xfId="1421" xr:uid="{00000000-0005-0000-0000-0000F0040000}"/>
    <cellStyle name="Cálculo 3 2 12 2" xfId="1422" xr:uid="{00000000-0005-0000-0000-0000F1040000}"/>
    <cellStyle name="Cálculo 3 2 13" xfId="1423" xr:uid="{00000000-0005-0000-0000-0000F2040000}"/>
    <cellStyle name="Cálculo 3 2 13 2" xfId="1424" xr:uid="{00000000-0005-0000-0000-0000F3040000}"/>
    <cellStyle name="Cálculo 3 2 14" xfId="1425" xr:uid="{00000000-0005-0000-0000-0000F4040000}"/>
    <cellStyle name="Cálculo 3 2 14 2" xfId="1426" xr:uid="{00000000-0005-0000-0000-0000F5040000}"/>
    <cellStyle name="Cálculo 3 2 15" xfId="1427" xr:uid="{00000000-0005-0000-0000-0000F6040000}"/>
    <cellStyle name="Cálculo 3 2 2" xfId="1428" xr:uid="{00000000-0005-0000-0000-0000F7040000}"/>
    <cellStyle name="Cálculo 3 2 2 2" xfId="1429" xr:uid="{00000000-0005-0000-0000-0000F8040000}"/>
    <cellStyle name="Cálculo 3 2 3" xfId="1430" xr:uid="{00000000-0005-0000-0000-0000F9040000}"/>
    <cellStyle name="Cálculo 3 2 3 2" xfId="1431" xr:uid="{00000000-0005-0000-0000-0000FA040000}"/>
    <cellStyle name="Cálculo 3 2 4" xfId="1432" xr:uid="{00000000-0005-0000-0000-0000FB040000}"/>
    <cellStyle name="Cálculo 3 2 4 2" xfId="1433" xr:uid="{00000000-0005-0000-0000-0000FC040000}"/>
    <cellStyle name="Cálculo 3 2 5" xfId="1434" xr:uid="{00000000-0005-0000-0000-0000FD040000}"/>
    <cellStyle name="Cálculo 3 2 5 2" xfId="1435" xr:uid="{00000000-0005-0000-0000-0000FE040000}"/>
    <cellStyle name="Cálculo 3 2 6" xfId="1436" xr:uid="{00000000-0005-0000-0000-0000FF040000}"/>
    <cellStyle name="Cálculo 3 2 6 2" xfId="1437" xr:uid="{00000000-0005-0000-0000-000000050000}"/>
    <cellStyle name="Cálculo 3 2 7" xfId="1438" xr:uid="{00000000-0005-0000-0000-000001050000}"/>
    <cellStyle name="Cálculo 3 2 7 2" xfId="1439" xr:uid="{00000000-0005-0000-0000-000002050000}"/>
    <cellStyle name="Cálculo 3 2 8" xfId="1440" xr:uid="{00000000-0005-0000-0000-000003050000}"/>
    <cellStyle name="Cálculo 3 2 8 2" xfId="1441" xr:uid="{00000000-0005-0000-0000-000004050000}"/>
    <cellStyle name="Cálculo 3 2 9" xfId="1442" xr:uid="{00000000-0005-0000-0000-000005050000}"/>
    <cellStyle name="Cálculo 3 2 9 2" xfId="1443" xr:uid="{00000000-0005-0000-0000-000006050000}"/>
    <cellStyle name="Cálculo 3 3" xfId="1444" xr:uid="{00000000-0005-0000-0000-000007050000}"/>
    <cellStyle name="Cálculo 3 3 2" xfId="1445" xr:uid="{00000000-0005-0000-0000-000008050000}"/>
    <cellStyle name="Cálculo 3 3 2 2" xfId="1446" xr:uid="{00000000-0005-0000-0000-000009050000}"/>
    <cellStyle name="Cálculo 3 3 3" xfId="1447" xr:uid="{00000000-0005-0000-0000-00000A050000}"/>
    <cellStyle name="Cálculo 3 3 3 2" xfId="1448" xr:uid="{00000000-0005-0000-0000-00000B050000}"/>
    <cellStyle name="Cálculo 3 3 4" xfId="1449" xr:uid="{00000000-0005-0000-0000-00000C050000}"/>
    <cellStyle name="Cálculo 3 4" xfId="1450" xr:uid="{00000000-0005-0000-0000-00000D050000}"/>
    <cellStyle name="Cálculo 3 4 2" xfId="1451" xr:uid="{00000000-0005-0000-0000-00000E050000}"/>
    <cellStyle name="Cálculo 3 5" xfId="1452" xr:uid="{00000000-0005-0000-0000-00000F050000}"/>
    <cellStyle name="Cálculo 3 5 2" xfId="1453" xr:uid="{00000000-0005-0000-0000-000010050000}"/>
    <cellStyle name="Cálculo 3 6" xfId="1454" xr:uid="{00000000-0005-0000-0000-000011050000}"/>
    <cellStyle name="Cálculo 3 6 2" xfId="1455" xr:uid="{00000000-0005-0000-0000-000012050000}"/>
    <cellStyle name="Cálculo 3 7" xfId="1456" xr:uid="{00000000-0005-0000-0000-000013050000}"/>
    <cellStyle name="Cálculo 3 7 2" xfId="1457" xr:uid="{00000000-0005-0000-0000-000014050000}"/>
    <cellStyle name="Cálculo 3 8" xfId="1458" xr:uid="{00000000-0005-0000-0000-000015050000}"/>
    <cellStyle name="Cálculo 3 8 2" xfId="1459" xr:uid="{00000000-0005-0000-0000-000016050000}"/>
    <cellStyle name="Cálculo 3 9" xfId="1460" xr:uid="{00000000-0005-0000-0000-000017050000}"/>
    <cellStyle name="Cálculo 3 9 2" xfId="1461" xr:uid="{00000000-0005-0000-0000-000018050000}"/>
    <cellStyle name="Cálculo 4" xfId="1462" xr:uid="{00000000-0005-0000-0000-000019050000}"/>
    <cellStyle name="Cálculo 4 10" xfId="1463" xr:uid="{00000000-0005-0000-0000-00001A050000}"/>
    <cellStyle name="Cálculo 4 10 2" xfId="1464" xr:uid="{00000000-0005-0000-0000-00001B050000}"/>
    <cellStyle name="Cálculo 4 11" xfId="1465" xr:uid="{00000000-0005-0000-0000-00001C050000}"/>
    <cellStyle name="Cálculo 4 11 2" xfId="1466" xr:uid="{00000000-0005-0000-0000-00001D050000}"/>
    <cellStyle name="Cálculo 4 12" xfId="1467" xr:uid="{00000000-0005-0000-0000-00001E050000}"/>
    <cellStyle name="Cálculo 4 12 2" xfId="1468" xr:uid="{00000000-0005-0000-0000-00001F050000}"/>
    <cellStyle name="Cálculo 4 13" xfId="1469" xr:uid="{00000000-0005-0000-0000-000020050000}"/>
    <cellStyle name="Cálculo 4 13 2" xfId="1470" xr:uid="{00000000-0005-0000-0000-000021050000}"/>
    <cellStyle name="Cálculo 4 14" xfId="1471" xr:uid="{00000000-0005-0000-0000-000022050000}"/>
    <cellStyle name="Cálculo 4 14 2" xfId="1472" xr:uid="{00000000-0005-0000-0000-000023050000}"/>
    <cellStyle name="Cálculo 4 15" xfId="1473" xr:uid="{00000000-0005-0000-0000-000024050000}"/>
    <cellStyle name="Cálculo 4 15 2" xfId="1474" xr:uid="{00000000-0005-0000-0000-000025050000}"/>
    <cellStyle name="Cálculo 4 16" xfId="1475" xr:uid="{00000000-0005-0000-0000-000026050000}"/>
    <cellStyle name="Cálculo 4 16 2" xfId="1476" xr:uid="{00000000-0005-0000-0000-000027050000}"/>
    <cellStyle name="Cálculo 4 17" xfId="1477" xr:uid="{00000000-0005-0000-0000-000028050000}"/>
    <cellStyle name="Cálculo 4 2" xfId="1478" xr:uid="{00000000-0005-0000-0000-000029050000}"/>
    <cellStyle name="Cálculo 4 2 10" xfId="1479" xr:uid="{00000000-0005-0000-0000-00002A050000}"/>
    <cellStyle name="Cálculo 4 2 10 2" xfId="1480" xr:uid="{00000000-0005-0000-0000-00002B050000}"/>
    <cellStyle name="Cálculo 4 2 11" xfId="1481" xr:uid="{00000000-0005-0000-0000-00002C050000}"/>
    <cellStyle name="Cálculo 4 2 11 2" xfId="1482" xr:uid="{00000000-0005-0000-0000-00002D050000}"/>
    <cellStyle name="Cálculo 4 2 12" xfId="1483" xr:uid="{00000000-0005-0000-0000-00002E050000}"/>
    <cellStyle name="Cálculo 4 2 12 2" xfId="1484" xr:uid="{00000000-0005-0000-0000-00002F050000}"/>
    <cellStyle name="Cálculo 4 2 13" xfId="1485" xr:uid="{00000000-0005-0000-0000-000030050000}"/>
    <cellStyle name="Cálculo 4 2 13 2" xfId="1486" xr:uid="{00000000-0005-0000-0000-000031050000}"/>
    <cellStyle name="Cálculo 4 2 14" xfId="1487" xr:uid="{00000000-0005-0000-0000-000032050000}"/>
    <cellStyle name="Cálculo 4 2 14 2" xfId="1488" xr:uid="{00000000-0005-0000-0000-000033050000}"/>
    <cellStyle name="Cálculo 4 2 15" xfId="1489" xr:uid="{00000000-0005-0000-0000-000034050000}"/>
    <cellStyle name="Cálculo 4 2 2" xfId="1490" xr:uid="{00000000-0005-0000-0000-000035050000}"/>
    <cellStyle name="Cálculo 4 2 2 2" xfId="1491" xr:uid="{00000000-0005-0000-0000-000036050000}"/>
    <cellStyle name="Cálculo 4 2 3" xfId="1492" xr:uid="{00000000-0005-0000-0000-000037050000}"/>
    <cellStyle name="Cálculo 4 2 3 2" xfId="1493" xr:uid="{00000000-0005-0000-0000-000038050000}"/>
    <cellStyle name="Cálculo 4 2 4" xfId="1494" xr:uid="{00000000-0005-0000-0000-000039050000}"/>
    <cellStyle name="Cálculo 4 2 4 2" xfId="1495" xr:uid="{00000000-0005-0000-0000-00003A050000}"/>
    <cellStyle name="Cálculo 4 2 5" xfId="1496" xr:uid="{00000000-0005-0000-0000-00003B050000}"/>
    <cellStyle name="Cálculo 4 2 5 2" xfId="1497" xr:uid="{00000000-0005-0000-0000-00003C050000}"/>
    <cellStyle name="Cálculo 4 2 6" xfId="1498" xr:uid="{00000000-0005-0000-0000-00003D050000}"/>
    <cellStyle name="Cálculo 4 2 6 2" xfId="1499" xr:uid="{00000000-0005-0000-0000-00003E050000}"/>
    <cellStyle name="Cálculo 4 2 7" xfId="1500" xr:uid="{00000000-0005-0000-0000-00003F050000}"/>
    <cellStyle name="Cálculo 4 2 7 2" xfId="1501" xr:uid="{00000000-0005-0000-0000-000040050000}"/>
    <cellStyle name="Cálculo 4 2 8" xfId="1502" xr:uid="{00000000-0005-0000-0000-000041050000}"/>
    <cellStyle name="Cálculo 4 2 8 2" xfId="1503" xr:uid="{00000000-0005-0000-0000-000042050000}"/>
    <cellStyle name="Cálculo 4 2 9" xfId="1504" xr:uid="{00000000-0005-0000-0000-000043050000}"/>
    <cellStyle name="Cálculo 4 2 9 2" xfId="1505" xr:uid="{00000000-0005-0000-0000-000044050000}"/>
    <cellStyle name="Cálculo 4 3" xfId="1506" xr:uid="{00000000-0005-0000-0000-000045050000}"/>
    <cellStyle name="Cálculo 4 3 2" xfId="1507" xr:uid="{00000000-0005-0000-0000-000046050000}"/>
    <cellStyle name="Cálculo 4 3 2 2" xfId="1508" xr:uid="{00000000-0005-0000-0000-000047050000}"/>
    <cellStyle name="Cálculo 4 3 3" xfId="1509" xr:uid="{00000000-0005-0000-0000-000048050000}"/>
    <cellStyle name="Cálculo 4 3 3 2" xfId="1510" xr:uid="{00000000-0005-0000-0000-000049050000}"/>
    <cellStyle name="Cálculo 4 3 4" xfId="1511" xr:uid="{00000000-0005-0000-0000-00004A050000}"/>
    <cellStyle name="Cálculo 4 4" xfId="1512" xr:uid="{00000000-0005-0000-0000-00004B050000}"/>
    <cellStyle name="Cálculo 4 4 2" xfId="1513" xr:uid="{00000000-0005-0000-0000-00004C050000}"/>
    <cellStyle name="Cálculo 4 5" xfId="1514" xr:uid="{00000000-0005-0000-0000-00004D050000}"/>
    <cellStyle name="Cálculo 4 5 2" xfId="1515" xr:uid="{00000000-0005-0000-0000-00004E050000}"/>
    <cellStyle name="Cálculo 4 6" xfId="1516" xr:uid="{00000000-0005-0000-0000-00004F050000}"/>
    <cellStyle name="Cálculo 4 6 2" xfId="1517" xr:uid="{00000000-0005-0000-0000-000050050000}"/>
    <cellStyle name="Cálculo 4 7" xfId="1518" xr:uid="{00000000-0005-0000-0000-000051050000}"/>
    <cellStyle name="Cálculo 4 7 2" xfId="1519" xr:uid="{00000000-0005-0000-0000-000052050000}"/>
    <cellStyle name="Cálculo 4 8" xfId="1520" xr:uid="{00000000-0005-0000-0000-000053050000}"/>
    <cellStyle name="Cálculo 4 8 2" xfId="1521" xr:uid="{00000000-0005-0000-0000-000054050000}"/>
    <cellStyle name="Cálculo 4 9" xfId="1522" xr:uid="{00000000-0005-0000-0000-000055050000}"/>
    <cellStyle name="Cálculo 4 9 2" xfId="1523" xr:uid="{00000000-0005-0000-0000-000056050000}"/>
    <cellStyle name="Cálculo 5" xfId="1524" xr:uid="{00000000-0005-0000-0000-000057050000}"/>
    <cellStyle name="Cálculo 5 10" xfId="1525" xr:uid="{00000000-0005-0000-0000-000058050000}"/>
    <cellStyle name="Cálculo 5 10 2" xfId="1526" xr:uid="{00000000-0005-0000-0000-000059050000}"/>
    <cellStyle name="Cálculo 5 11" xfId="1527" xr:uid="{00000000-0005-0000-0000-00005A050000}"/>
    <cellStyle name="Cálculo 5 11 2" xfId="1528" xr:uid="{00000000-0005-0000-0000-00005B050000}"/>
    <cellStyle name="Cálculo 5 12" xfId="1529" xr:uid="{00000000-0005-0000-0000-00005C050000}"/>
    <cellStyle name="Cálculo 5 12 2" xfId="1530" xr:uid="{00000000-0005-0000-0000-00005D050000}"/>
    <cellStyle name="Cálculo 5 13" xfId="1531" xr:uid="{00000000-0005-0000-0000-00005E050000}"/>
    <cellStyle name="Cálculo 5 13 2" xfId="1532" xr:uid="{00000000-0005-0000-0000-00005F050000}"/>
    <cellStyle name="Cálculo 5 14" xfId="1533" xr:uid="{00000000-0005-0000-0000-000060050000}"/>
    <cellStyle name="Cálculo 5 14 2" xfId="1534" xr:uid="{00000000-0005-0000-0000-000061050000}"/>
    <cellStyle name="Cálculo 5 15" xfId="1535" xr:uid="{00000000-0005-0000-0000-000062050000}"/>
    <cellStyle name="Cálculo 5 15 2" xfId="1536" xr:uid="{00000000-0005-0000-0000-000063050000}"/>
    <cellStyle name="Cálculo 5 16" xfId="1537" xr:uid="{00000000-0005-0000-0000-000064050000}"/>
    <cellStyle name="Cálculo 5 16 2" xfId="1538" xr:uid="{00000000-0005-0000-0000-000065050000}"/>
    <cellStyle name="Cálculo 5 17" xfId="1539" xr:uid="{00000000-0005-0000-0000-000066050000}"/>
    <cellStyle name="Cálculo 5 2" xfId="1540" xr:uid="{00000000-0005-0000-0000-000067050000}"/>
    <cellStyle name="Cálculo 5 2 10" xfId="1541" xr:uid="{00000000-0005-0000-0000-000068050000}"/>
    <cellStyle name="Cálculo 5 2 10 2" xfId="1542" xr:uid="{00000000-0005-0000-0000-000069050000}"/>
    <cellStyle name="Cálculo 5 2 11" xfId="1543" xr:uid="{00000000-0005-0000-0000-00006A050000}"/>
    <cellStyle name="Cálculo 5 2 11 2" xfId="1544" xr:uid="{00000000-0005-0000-0000-00006B050000}"/>
    <cellStyle name="Cálculo 5 2 12" xfId="1545" xr:uid="{00000000-0005-0000-0000-00006C050000}"/>
    <cellStyle name="Cálculo 5 2 12 2" xfId="1546" xr:uid="{00000000-0005-0000-0000-00006D050000}"/>
    <cellStyle name="Cálculo 5 2 13" xfId="1547" xr:uid="{00000000-0005-0000-0000-00006E050000}"/>
    <cellStyle name="Cálculo 5 2 13 2" xfId="1548" xr:uid="{00000000-0005-0000-0000-00006F050000}"/>
    <cellStyle name="Cálculo 5 2 14" xfId="1549" xr:uid="{00000000-0005-0000-0000-000070050000}"/>
    <cellStyle name="Cálculo 5 2 14 2" xfId="1550" xr:uid="{00000000-0005-0000-0000-000071050000}"/>
    <cellStyle name="Cálculo 5 2 15" xfId="1551" xr:uid="{00000000-0005-0000-0000-000072050000}"/>
    <cellStyle name="Cálculo 5 2 2" xfId="1552" xr:uid="{00000000-0005-0000-0000-000073050000}"/>
    <cellStyle name="Cálculo 5 2 2 2" xfId="1553" xr:uid="{00000000-0005-0000-0000-000074050000}"/>
    <cellStyle name="Cálculo 5 2 3" xfId="1554" xr:uid="{00000000-0005-0000-0000-000075050000}"/>
    <cellStyle name="Cálculo 5 2 3 2" xfId="1555" xr:uid="{00000000-0005-0000-0000-000076050000}"/>
    <cellStyle name="Cálculo 5 2 4" xfId="1556" xr:uid="{00000000-0005-0000-0000-000077050000}"/>
    <cellStyle name="Cálculo 5 2 4 2" xfId="1557" xr:uid="{00000000-0005-0000-0000-000078050000}"/>
    <cellStyle name="Cálculo 5 2 5" xfId="1558" xr:uid="{00000000-0005-0000-0000-000079050000}"/>
    <cellStyle name="Cálculo 5 2 5 2" xfId="1559" xr:uid="{00000000-0005-0000-0000-00007A050000}"/>
    <cellStyle name="Cálculo 5 2 6" xfId="1560" xr:uid="{00000000-0005-0000-0000-00007B050000}"/>
    <cellStyle name="Cálculo 5 2 6 2" xfId="1561" xr:uid="{00000000-0005-0000-0000-00007C050000}"/>
    <cellStyle name="Cálculo 5 2 7" xfId="1562" xr:uid="{00000000-0005-0000-0000-00007D050000}"/>
    <cellStyle name="Cálculo 5 2 7 2" xfId="1563" xr:uid="{00000000-0005-0000-0000-00007E050000}"/>
    <cellStyle name="Cálculo 5 2 8" xfId="1564" xr:uid="{00000000-0005-0000-0000-00007F050000}"/>
    <cellStyle name="Cálculo 5 2 8 2" xfId="1565" xr:uid="{00000000-0005-0000-0000-000080050000}"/>
    <cellStyle name="Cálculo 5 2 9" xfId="1566" xr:uid="{00000000-0005-0000-0000-000081050000}"/>
    <cellStyle name="Cálculo 5 2 9 2" xfId="1567" xr:uid="{00000000-0005-0000-0000-000082050000}"/>
    <cellStyle name="Cálculo 5 3" xfId="1568" xr:uid="{00000000-0005-0000-0000-000083050000}"/>
    <cellStyle name="Cálculo 5 3 2" xfId="1569" xr:uid="{00000000-0005-0000-0000-000084050000}"/>
    <cellStyle name="Cálculo 5 3 2 2" xfId="1570" xr:uid="{00000000-0005-0000-0000-000085050000}"/>
    <cellStyle name="Cálculo 5 3 3" xfId="1571" xr:uid="{00000000-0005-0000-0000-000086050000}"/>
    <cellStyle name="Cálculo 5 3 3 2" xfId="1572" xr:uid="{00000000-0005-0000-0000-000087050000}"/>
    <cellStyle name="Cálculo 5 3 4" xfId="1573" xr:uid="{00000000-0005-0000-0000-000088050000}"/>
    <cellStyle name="Cálculo 5 4" xfId="1574" xr:uid="{00000000-0005-0000-0000-000089050000}"/>
    <cellStyle name="Cálculo 5 4 2" xfId="1575" xr:uid="{00000000-0005-0000-0000-00008A050000}"/>
    <cellStyle name="Cálculo 5 5" xfId="1576" xr:uid="{00000000-0005-0000-0000-00008B050000}"/>
    <cellStyle name="Cálculo 5 5 2" xfId="1577" xr:uid="{00000000-0005-0000-0000-00008C050000}"/>
    <cellStyle name="Cálculo 5 6" xfId="1578" xr:uid="{00000000-0005-0000-0000-00008D050000}"/>
    <cellStyle name="Cálculo 5 6 2" xfId="1579" xr:uid="{00000000-0005-0000-0000-00008E050000}"/>
    <cellStyle name="Cálculo 5 7" xfId="1580" xr:uid="{00000000-0005-0000-0000-00008F050000}"/>
    <cellStyle name="Cálculo 5 7 2" xfId="1581" xr:uid="{00000000-0005-0000-0000-000090050000}"/>
    <cellStyle name="Cálculo 5 8" xfId="1582" xr:uid="{00000000-0005-0000-0000-000091050000}"/>
    <cellStyle name="Cálculo 5 8 2" xfId="1583" xr:uid="{00000000-0005-0000-0000-000092050000}"/>
    <cellStyle name="Cálculo 5 9" xfId="1584" xr:uid="{00000000-0005-0000-0000-000093050000}"/>
    <cellStyle name="Cálculo 5 9 2" xfId="1585" xr:uid="{00000000-0005-0000-0000-000094050000}"/>
    <cellStyle name="Cálculo 6" xfId="1586" xr:uid="{00000000-0005-0000-0000-000095050000}"/>
    <cellStyle name="Cálculo 6 10" xfId="1587" xr:uid="{00000000-0005-0000-0000-000096050000}"/>
    <cellStyle name="Cálculo 6 10 2" xfId="1588" xr:uid="{00000000-0005-0000-0000-000097050000}"/>
    <cellStyle name="Cálculo 6 11" xfId="1589" xr:uid="{00000000-0005-0000-0000-000098050000}"/>
    <cellStyle name="Cálculo 6 11 2" xfId="1590" xr:uid="{00000000-0005-0000-0000-000099050000}"/>
    <cellStyle name="Cálculo 6 12" xfId="1591" xr:uid="{00000000-0005-0000-0000-00009A050000}"/>
    <cellStyle name="Cálculo 6 12 2" xfId="1592" xr:uid="{00000000-0005-0000-0000-00009B050000}"/>
    <cellStyle name="Cálculo 6 13" xfId="1593" xr:uid="{00000000-0005-0000-0000-00009C050000}"/>
    <cellStyle name="Cálculo 6 13 2" xfId="1594" xr:uid="{00000000-0005-0000-0000-00009D050000}"/>
    <cellStyle name="Cálculo 6 14" xfId="1595" xr:uid="{00000000-0005-0000-0000-00009E050000}"/>
    <cellStyle name="Cálculo 6 14 2" xfId="1596" xr:uid="{00000000-0005-0000-0000-00009F050000}"/>
    <cellStyle name="Cálculo 6 15" xfId="1597" xr:uid="{00000000-0005-0000-0000-0000A0050000}"/>
    <cellStyle name="Cálculo 6 15 2" xfId="1598" xr:uid="{00000000-0005-0000-0000-0000A1050000}"/>
    <cellStyle name="Cálculo 6 16" xfId="1599" xr:uid="{00000000-0005-0000-0000-0000A2050000}"/>
    <cellStyle name="Cálculo 6 16 2" xfId="1600" xr:uid="{00000000-0005-0000-0000-0000A3050000}"/>
    <cellStyle name="Cálculo 6 17" xfId="1601" xr:uid="{00000000-0005-0000-0000-0000A4050000}"/>
    <cellStyle name="Cálculo 6 2" xfId="1602" xr:uid="{00000000-0005-0000-0000-0000A5050000}"/>
    <cellStyle name="Cálculo 6 2 2" xfId="1603" xr:uid="{00000000-0005-0000-0000-0000A6050000}"/>
    <cellStyle name="Cálculo 6 2 2 2" xfId="1604" xr:uid="{00000000-0005-0000-0000-0000A7050000}"/>
    <cellStyle name="Cálculo 6 2 3" xfId="1605" xr:uid="{00000000-0005-0000-0000-0000A8050000}"/>
    <cellStyle name="Cálculo 6 2 3 2" xfId="1606" xr:uid="{00000000-0005-0000-0000-0000A9050000}"/>
    <cellStyle name="Cálculo 6 2 4" xfId="1607" xr:uid="{00000000-0005-0000-0000-0000AA050000}"/>
    <cellStyle name="Cálculo 6 3" xfId="1608" xr:uid="{00000000-0005-0000-0000-0000AB050000}"/>
    <cellStyle name="Cálculo 6 3 2" xfId="1609" xr:uid="{00000000-0005-0000-0000-0000AC050000}"/>
    <cellStyle name="Cálculo 6 3 2 2" xfId="1610" xr:uid="{00000000-0005-0000-0000-0000AD050000}"/>
    <cellStyle name="Cálculo 6 3 3" xfId="1611" xr:uid="{00000000-0005-0000-0000-0000AE050000}"/>
    <cellStyle name="Cálculo 6 3 3 2" xfId="1612" xr:uid="{00000000-0005-0000-0000-0000AF050000}"/>
    <cellStyle name="Cálculo 6 3 4" xfId="1613" xr:uid="{00000000-0005-0000-0000-0000B0050000}"/>
    <cellStyle name="Cálculo 6 4" xfId="1614" xr:uid="{00000000-0005-0000-0000-0000B1050000}"/>
    <cellStyle name="Cálculo 6 4 2" xfId="1615" xr:uid="{00000000-0005-0000-0000-0000B2050000}"/>
    <cellStyle name="Cálculo 6 5" xfId="1616" xr:uid="{00000000-0005-0000-0000-0000B3050000}"/>
    <cellStyle name="Cálculo 6 5 2" xfId="1617" xr:uid="{00000000-0005-0000-0000-0000B4050000}"/>
    <cellStyle name="Cálculo 6 6" xfId="1618" xr:uid="{00000000-0005-0000-0000-0000B5050000}"/>
    <cellStyle name="Cálculo 6 6 2" xfId="1619" xr:uid="{00000000-0005-0000-0000-0000B6050000}"/>
    <cellStyle name="Cálculo 6 7" xfId="1620" xr:uid="{00000000-0005-0000-0000-0000B7050000}"/>
    <cellStyle name="Cálculo 6 7 2" xfId="1621" xr:uid="{00000000-0005-0000-0000-0000B8050000}"/>
    <cellStyle name="Cálculo 6 8" xfId="1622" xr:uid="{00000000-0005-0000-0000-0000B9050000}"/>
    <cellStyle name="Cálculo 6 8 2" xfId="1623" xr:uid="{00000000-0005-0000-0000-0000BA050000}"/>
    <cellStyle name="Cálculo 6 9" xfId="1624" xr:uid="{00000000-0005-0000-0000-0000BB050000}"/>
    <cellStyle name="Cálculo 6 9 2" xfId="1625" xr:uid="{00000000-0005-0000-0000-0000BC050000}"/>
    <cellStyle name="Cálculo 7" xfId="1626" xr:uid="{00000000-0005-0000-0000-0000BD050000}"/>
    <cellStyle name="Cálculo 7 10" xfId="1627" xr:uid="{00000000-0005-0000-0000-0000BE050000}"/>
    <cellStyle name="Cálculo 7 10 2" xfId="1628" xr:uid="{00000000-0005-0000-0000-0000BF050000}"/>
    <cellStyle name="Cálculo 7 11" xfId="1629" xr:uid="{00000000-0005-0000-0000-0000C0050000}"/>
    <cellStyle name="Cálculo 7 11 2" xfId="1630" xr:uid="{00000000-0005-0000-0000-0000C1050000}"/>
    <cellStyle name="Cálculo 7 12" xfId="1631" xr:uid="{00000000-0005-0000-0000-0000C2050000}"/>
    <cellStyle name="Cálculo 7 12 2" xfId="1632" xr:uid="{00000000-0005-0000-0000-0000C3050000}"/>
    <cellStyle name="Cálculo 7 13" xfId="1633" xr:uid="{00000000-0005-0000-0000-0000C4050000}"/>
    <cellStyle name="Cálculo 7 13 2" xfId="1634" xr:uid="{00000000-0005-0000-0000-0000C5050000}"/>
    <cellStyle name="Cálculo 7 14" xfId="1635" xr:uid="{00000000-0005-0000-0000-0000C6050000}"/>
    <cellStyle name="Cálculo 7 14 2" xfId="1636" xr:uid="{00000000-0005-0000-0000-0000C7050000}"/>
    <cellStyle name="Cálculo 7 15" xfId="1637" xr:uid="{00000000-0005-0000-0000-0000C8050000}"/>
    <cellStyle name="Cálculo 7 15 2" xfId="1638" xr:uid="{00000000-0005-0000-0000-0000C9050000}"/>
    <cellStyle name="Cálculo 7 16" xfId="1639" xr:uid="{00000000-0005-0000-0000-0000CA050000}"/>
    <cellStyle name="Cálculo 7 16 2" xfId="1640" xr:uid="{00000000-0005-0000-0000-0000CB050000}"/>
    <cellStyle name="Cálculo 7 2" xfId="1641" xr:uid="{00000000-0005-0000-0000-0000CC050000}"/>
    <cellStyle name="Cálculo 7 2 2" xfId="1642" xr:uid="{00000000-0005-0000-0000-0000CD050000}"/>
    <cellStyle name="Cálculo 7 2 2 2" xfId="1643" xr:uid="{00000000-0005-0000-0000-0000CE050000}"/>
    <cellStyle name="Cálculo 7 2 3" xfId="1644" xr:uid="{00000000-0005-0000-0000-0000CF050000}"/>
    <cellStyle name="Cálculo 7 2 3 2" xfId="1645" xr:uid="{00000000-0005-0000-0000-0000D0050000}"/>
    <cellStyle name="Cálculo 7 2 4" xfId="1646" xr:uid="{00000000-0005-0000-0000-0000D1050000}"/>
    <cellStyle name="Cálculo 7 3" xfId="1647" xr:uid="{00000000-0005-0000-0000-0000D2050000}"/>
    <cellStyle name="Cálculo 7 3 2" xfId="1648" xr:uid="{00000000-0005-0000-0000-0000D3050000}"/>
    <cellStyle name="Cálculo 7 3 2 2" xfId="1649" xr:uid="{00000000-0005-0000-0000-0000D4050000}"/>
    <cellStyle name="Cálculo 7 3 3" xfId="1650" xr:uid="{00000000-0005-0000-0000-0000D5050000}"/>
    <cellStyle name="Cálculo 7 3 3 2" xfId="1651" xr:uid="{00000000-0005-0000-0000-0000D6050000}"/>
    <cellStyle name="Cálculo 7 3 4" xfId="1652" xr:uid="{00000000-0005-0000-0000-0000D7050000}"/>
    <cellStyle name="Cálculo 7 4" xfId="1653" xr:uid="{00000000-0005-0000-0000-0000D8050000}"/>
    <cellStyle name="Cálculo 7 4 2" xfId="1654" xr:uid="{00000000-0005-0000-0000-0000D9050000}"/>
    <cellStyle name="Cálculo 7 5" xfId="1655" xr:uid="{00000000-0005-0000-0000-0000DA050000}"/>
    <cellStyle name="Cálculo 7 5 2" xfId="1656" xr:uid="{00000000-0005-0000-0000-0000DB050000}"/>
    <cellStyle name="Cálculo 7 6" xfId="1657" xr:uid="{00000000-0005-0000-0000-0000DC050000}"/>
    <cellStyle name="Cálculo 7 6 2" xfId="1658" xr:uid="{00000000-0005-0000-0000-0000DD050000}"/>
    <cellStyle name="Cálculo 7 7" xfId="1659" xr:uid="{00000000-0005-0000-0000-0000DE050000}"/>
    <cellStyle name="Cálculo 7 7 2" xfId="1660" xr:uid="{00000000-0005-0000-0000-0000DF050000}"/>
    <cellStyle name="Cálculo 7 8" xfId="1661" xr:uid="{00000000-0005-0000-0000-0000E0050000}"/>
    <cellStyle name="Cálculo 7 8 2" xfId="1662" xr:uid="{00000000-0005-0000-0000-0000E1050000}"/>
    <cellStyle name="Cálculo 7 9" xfId="1663" xr:uid="{00000000-0005-0000-0000-0000E2050000}"/>
    <cellStyle name="Cálculo 7 9 2" xfId="1664" xr:uid="{00000000-0005-0000-0000-0000E3050000}"/>
    <cellStyle name="Cálculo 8" xfId="1665" xr:uid="{00000000-0005-0000-0000-0000E4050000}"/>
    <cellStyle name="Cálculo 8 2" xfId="1666" xr:uid="{00000000-0005-0000-0000-0000E5050000}"/>
    <cellStyle name="Cálculo 8 2 2" xfId="1667" xr:uid="{00000000-0005-0000-0000-0000E6050000}"/>
    <cellStyle name="Cálculo 8 3" xfId="1668" xr:uid="{00000000-0005-0000-0000-0000E7050000}"/>
    <cellStyle name="Cálculo 8 3 2" xfId="1669" xr:uid="{00000000-0005-0000-0000-0000E8050000}"/>
    <cellStyle name="Cálculo 8 4" xfId="1670" xr:uid="{00000000-0005-0000-0000-0000E9050000}"/>
    <cellStyle name="Cálculo 9" xfId="1671" xr:uid="{00000000-0005-0000-0000-0000EA050000}"/>
    <cellStyle name="Cálculo 9 2" xfId="1672" xr:uid="{00000000-0005-0000-0000-0000EB050000}"/>
    <cellStyle name="Cálculo 9 2 2" xfId="1673" xr:uid="{00000000-0005-0000-0000-0000EC050000}"/>
    <cellStyle name="Cálculo 9 3" xfId="1674" xr:uid="{00000000-0005-0000-0000-0000ED050000}"/>
    <cellStyle name="Cálculo 9 3 2" xfId="1675" xr:uid="{00000000-0005-0000-0000-0000EE050000}"/>
    <cellStyle name="Cálculo 9 4" xfId="1676" xr:uid="{00000000-0005-0000-0000-0000EF050000}"/>
    <cellStyle name="Celda de comprobación" xfId="1677" xr:uid="{00000000-0005-0000-0000-0000F0050000}"/>
    <cellStyle name="Celda vinculada" xfId="1678" xr:uid="{00000000-0005-0000-0000-0000F1050000}"/>
    <cellStyle name="Check Cell" xfId="21" builtinId="23" customBuiltin="1"/>
    <cellStyle name="Check Cell 2" xfId="85" xr:uid="{00000000-0005-0000-0000-0000F3050000}"/>
    <cellStyle name="Check Cell 2 10" xfId="1679" xr:uid="{00000000-0005-0000-0000-0000F4050000}"/>
    <cellStyle name="Check Cell 2 11" xfId="1680" xr:uid="{00000000-0005-0000-0000-0000F5050000}"/>
    <cellStyle name="Check Cell 2 12" xfId="1681" xr:uid="{00000000-0005-0000-0000-0000F6050000}"/>
    <cellStyle name="Check Cell 2 13" xfId="1682" xr:uid="{00000000-0005-0000-0000-0000F7050000}"/>
    <cellStyle name="Check Cell 2 14" xfId="1683" xr:uid="{00000000-0005-0000-0000-0000F8050000}"/>
    <cellStyle name="Check Cell 2 15" xfId="1684" xr:uid="{00000000-0005-0000-0000-0000F9050000}"/>
    <cellStyle name="Check Cell 2 16" xfId="1685" xr:uid="{00000000-0005-0000-0000-0000FA050000}"/>
    <cellStyle name="Check Cell 2 17" xfId="1686" xr:uid="{00000000-0005-0000-0000-0000FB050000}"/>
    <cellStyle name="Check Cell 2 2" xfId="1687" xr:uid="{00000000-0005-0000-0000-0000FC050000}"/>
    <cellStyle name="Check Cell 2 2 2" xfId="1688" xr:uid="{00000000-0005-0000-0000-0000FD050000}"/>
    <cellStyle name="Check Cell 2 2 2 2" xfId="1689" xr:uid="{00000000-0005-0000-0000-0000FE050000}"/>
    <cellStyle name="Check Cell 2 2 2 3" xfId="1690" xr:uid="{00000000-0005-0000-0000-0000FF050000}"/>
    <cellStyle name="Check Cell 2 2 3" xfId="1691" xr:uid="{00000000-0005-0000-0000-000000060000}"/>
    <cellStyle name="Check Cell 2 2 4" xfId="1692" xr:uid="{00000000-0005-0000-0000-000001060000}"/>
    <cellStyle name="Check Cell 2 3" xfId="1693" xr:uid="{00000000-0005-0000-0000-000002060000}"/>
    <cellStyle name="Check Cell 2 4" xfId="1694" xr:uid="{00000000-0005-0000-0000-000003060000}"/>
    <cellStyle name="Check Cell 2 5" xfId="1695" xr:uid="{00000000-0005-0000-0000-000004060000}"/>
    <cellStyle name="Check Cell 2 6" xfId="1696" xr:uid="{00000000-0005-0000-0000-000005060000}"/>
    <cellStyle name="Check Cell 2 7" xfId="1697" xr:uid="{00000000-0005-0000-0000-000006060000}"/>
    <cellStyle name="Check Cell 2 8" xfId="1698" xr:uid="{00000000-0005-0000-0000-000007060000}"/>
    <cellStyle name="Check Cell 2 9" xfId="1699" xr:uid="{00000000-0005-0000-0000-000008060000}"/>
    <cellStyle name="Check Cell 3" xfId="1700" xr:uid="{00000000-0005-0000-0000-000009060000}"/>
    <cellStyle name="Check Cell 3 2" xfId="1701" xr:uid="{00000000-0005-0000-0000-00000A060000}"/>
    <cellStyle name="Check Cell 3 3" xfId="1702" xr:uid="{00000000-0005-0000-0000-00000B060000}"/>
    <cellStyle name="Check Cell 4" xfId="1703" xr:uid="{00000000-0005-0000-0000-00000C060000}"/>
    <cellStyle name="Co. Names" xfId="1704" xr:uid="{00000000-0005-0000-0000-00000D060000}"/>
    <cellStyle name="Co. Names - Bold" xfId="1705" xr:uid="{00000000-0005-0000-0000-00000E060000}"/>
    <cellStyle name="Co. Names 10" xfId="1706" xr:uid="{00000000-0005-0000-0000-00000F060000}"/>
    <cellStyle name="Co. Names 11" xfId="1707" xr:uid="{00000000-0005-0000-0000-000010060000}"/>
    <cellStyle name="Co. Names 12" xfId="1708" xr:uid="{00000000-0005-0000-0000-000011060000}"/>
    <cellStyle name="Co. Names 13" xfId="1709" xr:uid="{00000000-0005-0000-0000-000012060000}"/>
    <cellStyle name="Co. Names 14" xfId="1710" xr:uid="{00000000-0005-0000-0000-000013060000}"/>
    <cellStyle name="Co. Names 15" xfId="1711" xr:uid="{00000000-0005-0000-0000-000014060000}"/>
    <cellStyle name="Co. Names 16" xfId="1712" xr:uid="{00000000-0005-0000-0000-000015060000}"/>
    <cellStyle name="Co. Names 17" xfId="1713" xr:uid="{00000000-0005-0000-0000-000016060000}"/>
    <cellStyle name="Co. Names 18" xfId="1714" xr:uid="{00000000-0005-0000-0000-000017060000}"/>
    <cellStyle name="Co. Names 19" xfId="1715" xr:uid="{00000000-0005-0000-0000-000018060000}"/>
    <cellStyle name="Co. Names 2" xfId="1716" xr:uid="{00000000-0005-0000-0000-000019060000}"/>
    <cellStyle name="Co. Names 20" xfId="1717" xr:uid="{00000000-0005-0000-0000-00001A060000}"/>
    <cellStyle name="Co. Names 21" xfId="1718" xr:uid="{00000000-0005-0000-0000-00001B060000}"/>
    <cellStyle name="Co. Names 22" xfId="1719" xr:uid="{00000000-0005-0000-0000-00001C060000}"/>
    <cellStyle name="Co. Names 23" xfId="1720" xr:uid="{00000000-0005-0000-0000-00001D060000}"/>
    <cellStyle name="Co. Names 24" xfId="1721" xr:uid="{00000000-0005-0000-0000-00001E060000}"/>
    <cellStyle name="Co. Names 3" xfId="1722" xr:uid="{00000000-0005-0000-0000-00001F060000}"/>
    <cellStyle name="Co. Names 4" xfId="1723" xr:uid="{00000000-0005-0000-0000-000020060000}"/>
    <cellStyle name="Co. Names 5" xfId="1724" xr:uid="{00000000-0005-0000-0000-000021060000}"/>
    <cellStyle name="Co. Names 6" xfId="1725" xr:uid="{00000000-0005-0000-0000-000022060000}"/>
    <cellStyle name="Co. Names 7" xfId="1726" xr:uid="{00000000-0005-0000-0000-000023060000}"/>
    <cellStyle name="Co. Names 8" xfId="1727" xr:uid="{00000000-0005-0000-0000-000024060000}"/>
    <cellStyle name="Co. Names 9" xfId="1728" xr:uid="{00000000-0005-0000-0000-000025060000}"/>
    <cellStyle name="Co. Names_Break-Up" xfId="1729" xr:uid="{00000000-0005-0000-0000-000026060000}"/>
    <cellStyle name="COL HEADINGS" xfId="1730" xr:uid="{00000000-0005-0000-0000-000027060000}"/>
    <cellStyle name="Column heading" xfId="139" xr:uid="{00000000-0005-0000-0000-000028060000}"/>
    <cellStyle name="Comma" xfId="1" builtinId="3"/>
    <cellStyle name="Comma ,0" xfId="1731" xr:uid="{00000000-0005-0000-0000-00002A060000}"/>
    <cellStyle name="Comma [0] 2" xfId="1732" xr:uid="{00000000-0005-0000-0000-00002B060000}"/>
    <cellStyle name="Comma 0" xfId="1733" xr:uid="{00000000-0005-0000-0000-00002C060000}"/>
    <cellStyle name="Comma 10" xfId="1734" xr:uid="{00000000-0005-0000-0000-00002D060000}"/>
    <cellStyle name="Comma 10 2" xfId="1735" xr:uid="{00000000-0005-0000-0000-00002E060000}"/>
    <cellStyle name="Comma 10 2 10" xfId="1736" xr:uid="{00000000-0005-0000-0000-00002F060000}"/>
    <cellStyle name="Comma 10 2 11" xfId="1737" xr:uid="{00000000-0005-0000-0000-000030060000}"/>
    <cellStyle name="Comma 10 2 12" xfId="1738" xr:uid="{00000000-0005-0000-0000-000031060000}"/>
    <cellStyle name="Comma 10 2 13" xfId="1739" xr:uid="{00000000-0005-0000-0000-000032060000}"/>
    <cellStyle name="Comma 10 2 14" xfId="1740" xr:uid="{00000000-0005-0000-0000-000033060000}"/>
    <cellStyle name="Comma 10 2 15" xfId="1741" xr:uid="{00000000-0005-0000-0000-000034060000}"/>
    <cellStyle name="Comma 10 2 16" xfId="1742" xr:uid="{00000000-0005-0000-0000-000035060000}"/>
    <cellStyle name="Comma 10 2 2" xfId="1743" xr:uid="{00000000-0005-0000-0000-000036060000}"/>
    <cellStyle name="Comma 10 2 3" xfId="1744" xr:uid="{00000000-0005-0000-0000-000037060000}"/>
    <cellStyle name="Comma 10 2 4" xfId="1745" xr:uid="{00000000-0005-0000-0000-000038060000}"/>
    <cellStyle name="Comma 10 2 5" xfId="1746" xr:uid="{00000000-0005-0000-0000-000039060000}"/>
    <cellStyle name="Comma 10 2 6" xfId="1747" xr:uid="{00000000-0005-0000-0000-00003A060000}"/>
    <cellStyle name="Comma 10 2 7" xfId="1748" xr:uid="{00000000-0005-0000-0000-00003B060000}"/>
    <cellStyle name="Comma 10 2 8" xfId="1749" xr:uid="{00000000-0005-0000-0000-00003C060000}"/>
    <cellStyle name="Comma 10 2 9" xfId="1750" xr:uid="{00000000-0005-0000-0000-00003D060000}"/>
    <cellStyle name="Comma 10 3" xfId="1751" xr:uid="{00000000-0005-0000-0000-00003E060000}"/>
    <cellStyle name="Comma 10 3 10" xfId="1752" xr:uid="{00000000-0005-0000-0000-00003F060000}"/>
    <cellStyle name="Comma 10 3 11" xfId="1753" xr:uid="{00000000-0005-0000-0000-000040060000}"/>
    <cellStyle name="Comma 10 3 12" xfId="1754" xr:uid="{00000000-0005-0000-0000-000041060000}"/>
    <cellStyle name="Comma 10 3 13" xfId="1755" xr:uid="{00000000-0005-0000-0000-000042060000}"/>
    <cellStyle name="Comma 10 3 14" xfId="1756" xr:uid="{00000000-0005-0000-0000-000043060000}"/>
    <cellStyle name="Comma 10 3 15" xfId="1757" xr:uid="{00000000-0005-0000-0000-000044060000}"/>
    <cellStyle name="Comma 10 3 16" xfId="1758" xr:uid="{00000000-0005-0000-0000-000045060000}"/>
    <cellStyle name="Comma 10 3 2" xfId="1759" xr:uid="{00000000-0005-0000-0000-000046060000}"/>
    <cellStyle name="Comma 10 3 3" xfId="1760" xr:uid="{00000000-0005-0000-0000-000047060000}"/>
    <cellStyle name="Comma 10 3 4" xfId="1761" xr:uid="{00000000-0005-0000-0000-000048060000}"/>
    <cellStyle name="Comma 10 3 5" xfId="1762" xr:uid="{00000000-0005-0000-0000-000049060000}"/>
    <cellStyle name="Comma 10 3 6" xfId="1763" xr:uid="{00000000-0005-0000-0000-00004A060000}"/>
    <cellStyle name="Comma 10 3 7" xfId="1764" xr:uid="{00000000-0005-0000-0000-00004B060000}"/>
    <cellStyle name="Comma 10 3 8" xfId="1765" xr:uid="{00000000-0005-0000-0000-00004C060000}"/>
    <cellStyle name="Comma 10 3 9" xfId="1766" xr:uid="{00000000-0005-0000-0000-00004D060000}"/>
    <cellStyle name="Comma 10 4" xfId="1767" xr:uid="{00000000-0005-0000-0000-00004E060000}"/>
    <cellStyle name="Comma 10 4 10" xfId="1768" xr:uid="{00000000-0005-0000-0000-00004F060000}"/>
    <cellStyle name="Comma 10 4 11" xfId="1769" xr:uid="{00000000-0005-0000-0000-000050060000}"/>
    <cellStyle name="Comma 10 4 12" xfId="1770" xr:uid="{00000000-0005-0000-0000-000051060000}"/>
    <cellStyle name="Comma 10 4 13" xfId="1771" xr:uid="{00000000-0005-0000-0000-000052060000}"/>
    <cellStyle name="Comma 10 4 14" xfId="1772" xr:uid="{00000000-0005-0000-0000-000053060000}"/>
    <cellStyle name="Comma 10 4 15" xfId="1773" xr:uid="{00000000-0005-0000-0000-000054060000}"/>
    <cellStyle name="Comma 10 4 16" xfId="1774" xr:uid="{00000000-0005-0000-0000-000055060000}"/>
    <cellStyle name="Comma 10 4 2" xfId="1775" xr:uid="{00000000-0005-0000-0000-000056060000}"/>
    <cellStyle name="Comma 10 4 3" xfId="1776" xr:uid="{00000000-0005-0000-0000-000057060000}"/>
    <cellStyle name="Comma 10 4 4" xfId="1777" xr:uid="{00000000-0005-0000-0000-000058060000}"/>
    <cellStyle name="Comma 10 4 5" xfId="1778" xr:uid="{00000000-0005-0000-0000-000059060000}"/>
    <cellStyle name="Comma 10 4 6" xfId="1779" xr:uid="{00000000-0005-0000-0000-00005A060000}"/>
    <cellStyle name="Comma 10 4 7" xfId="1780" xr:uid="{00000000-0005-0000-0000-00005B060000}"/>
    <cellStyle name="Comma 10 4 8" xfId="1781" xr:uid="{00000000-0005-0000-0000-00005C060000}"/>
    <cellStyle name="Comma 10 4 9" xfId="1782" xr:uid="{00000000-0005-0000-0000-00005D060000}"/>
    <cellStyle name="Comma 10 5" xfId="1783" xr:uid="{00000000-0005-0000-0000-00005E060000}"/>
    <cellStyle name="Comma 10 5 10" xfId="1784" xr:uid="{00000000-0005-0000-0000-00005F060000}"/>
    <cellStyle name="Comma 10 5 11" xfId="1785" xr:uid="{00000000-0005-0000-0000-000060060000}"/>
    <cellStyle name="Comma 10 5 12" xfId="1786" xr:uid="{00000000-0005-0000-0000-000061060000}"/>
    <cellStyle name="Comma 10 5 13" xfId="1787" xr:uid="{00000000-0005-0000-0000-000062060000}"/>
    <cellStyle name="Comma 10 5 14" xfId="1788" xr:uid="{00000000-0005-0000-0000-000063060000}"/>
    <cellStyle name="Comma 10 5 15" xfId="1789" xr:uid="{00000000-0005-0000-0000-000064060000}"/>
    <cellStyle name="Comma 10 5 16" xfId="1790" xr:uid="{00000000-0005-0000-0000-000065060000}"/>
    <cellStyle name="Comma 10 5 2" xfId="1791" xr:uid="{00000000-0005-0000-0000-000066060000}"/>
    <cellStyle name="Comma 10 5 3" xfId="1792" xr:uid="{00000000-0005-0000-0000-000067060000}"/>
    <cellStyle name="Comma 10 5 4" xfId="1793" xr:uid="{00000000-0005-0000-0000-000068060000}"/>
    <cellStyle name="Comma 10 5 5" xfId="1794" xr:uid="{00000000-0005-0000-0000-000069060000}"/>
    <cellStyle name="Comma 10 5 6" xfId="1795" xr:uid="{00000000-0005-0000-0000-00006A060000}"/>
    <cellStyle name="Comma 10 5 7" xfId="1796" xr:uid="{00000000-0005-0000-0000-00006B060000}"/>
    <cellStyle name="Comma 10 5 8" xfId="1797" xr:uid="{00000000-0005-0000-0000-00006C060000}"/>
    <cellStyle name="Comma 10 5 9" xfId="1798" xr:uid="{00000000-0005-0000-0000-00006D060000}"/>
    <cellStyle name="Comma 10 6" xfId="1799" xr:uid="{00000000-0005-0000-0000-00006E060000}"/>
    <cellStyle name="Comma 10 6 10" xfId="1800" xr:uid="{00000000-0005-0000-0000-00006F060000}"/>
    <cellStyle name="Comma 10 6 11" xfId="1801" xr:uid="{00000000-0005-0000-0000-000070060000}"/>
    <cellStyle name="Comma 10 6 12" xfId="1802" xr:uid="{00000000-0005-0000-0000-000071060000}"/>
    <cellStyle name="Comma 10 6 13" xfId="1803" xr:uid="{00000000-0005-0000-0000-000072060000}"/>
    <cellStyle name="Comma 10 6 14" xfId="1804" xr:uid="{00000000-0005-0000-0000-000073060000}"/>
    <cellStyle name="Comma 10 6 15" xfId="1805" xr:uid="{00000000-0005-0000-0000-000074060000}"/>
    <cellStyle name="Comma 10 6 16" xfId="1806" xr:uid="{00000000-0005-0000-0000-000075060000}"/>
    <cellStyle name="Comma 10 6 2" xfId="1807" xr:uid="{00000000-0005-0000-0000-000076060000}"/>
    <cellStyle name="Comma 10 6 3" xfId="1808" xr:uid="{00000000-0005-0000-0000-000077060000}"/>
    <cellStyle name="Comma 10 6 4" xfId="1809" xr:uid="{00000000-0005-0000-0000-000078060000}"/>
    <cellStyle name="Comma 10 6 5" xfId="1810" xr:uid="{00000000-0005-0000-0000-000079060000}"/>
    <cellStyle name="Comma 10 6 6" xfId="1811" xr:uid="{00000000-0005-0000-0000-00007A060000}"/>
    <cellStyle name="Comma 10 6 7" xfId="1812" xr:uid="{00000000-0005-0000-0000-00007B060000}"/>
    <cellStyle name="Comma 10 6 8" xfId="1813" xr:uid="{00000000-0005-0000-0000-00007C060000}"/>
    <cellStyle name="Comma 10 6 9" xfId="1814" xr:uid="{00000000-0005-0000-0000-00007D060000}"/>
    <cellStyle name="Comma 10 7" xfId="1815" xr:uid="{00000000-0005-0000-0000-00007E060000}"/>
    <cellStyle name="Comma 10 7 10" xfId="1816" xr:uid="{00000000-0005-0000-0000-00007F060000}"/>
    <cellStyle name="Comma 10 7 11" xfId="1817" xr:uid="{00000000-0005-0000-0000-000080060000}"/>
    <cellStyle name="Comma 10 7 12" xfId="1818" xr:uid="{00000000-0005-0000-0000-000081060000}"/>
    <cellStyle name="Comma 10 7 13" xfId="1819" xr:uid="{00000000-0005-0000-0000-000082060000}"/>
    <cellStyle name="Comma 10 7 14" xfId="1820" xr:uid="{00000000-0005-0000-0000-000083060000}"/>
    <cellStyle name="Comma 10 7 15" xfId="1821" xr:uid="{00000000-0005-0000-0000-000084060000}"/>
    <cellStyle name="Comma 10 7 16" xfId="1822" xr:uid="{00000000-0005-0000-0000-000085060000}"/>
    <cellStyle name="Comma 10 7 2" xfId="1823" xr:uid="{00000000-0005-0000-0000-000086060000}"/>
    <cellStyle name="Comma 10 7 3" xfId="1824" xr:uid="{00000000-0005-0000-0000-000087060000}"/>
    <cellStyle name="Comma 10 7 4" xfId="1825" xr:uid="{00000000-0005-0000-0000-000088060000}"/>
    <cellStyle name="Comma 10 7 5" xfId="1826" xr:uid="{00000000-0005-0000-0000-000089060000}"/>
    <cellStyle name="Comma 10 7 6" xfId="1827" xr:uid="{00000000-0005-0000-0000-00008A060000}"/>
    <cellStyle name="Comma 10 7 7" xfId="1828" xr:uid="{00000000-0005-0000-0000-00008B060000}"/>
    <cellStyle name="Comma 10 7 8" xfId="1829" xr:uid="{00000000-0005-0000-0000-00008C060000}"/>
    <cellStyle name="Comma 10 7 9" xfId="1830" xr:uid="{00000000-0005-0000-0000-00008D060000}"/>
    <cellStyle name="Comma 10 8" xfId="1831" xr:uid="{00000000-0005-0000-0000-00008E060000}"/>
    <cellStyle name="Comma 11" xfId="1832" xr:uid="{00000000-0005-0000-0000-00008F060000}"/>
    <cellStyle name="Comma 11 2" xfId="1833" xr:uid="{00000000-0005-0000-0000-000090060000}"/>
    <cellStyle name="Comma 11 2 10" xfId="1834" xr:uid="{00000000-0005-0000-0000-000091060000}"/>
    <cellStyle name="Comma 11 2 11" xfId="1835" xr:uid="{00000000-0005-0000-0000-000092060000}"/>
    <cellStyle name="Comma 11 2 12" xfId="1836" xr:uid="{00000000-0005-0000-0000-000093060000}"/>
    <cellStyle name="Comma 11 2 13" xfId="1837" xr:uid="{00000000-0005-0000-0000-000094060000}"/>
    <cellStyle name="Comma 11 2 14" xfId="1838" xr:uid="{00000000-0005-0000-0000-000095060000}"/>
    <cellStyle name="Comma 11 2 15" xfId="1839" xr:uid="{00000000-0005-0000-0000-000096060000}"/>
    <cellStyle name="Comma 11 2 16" xfId="1840" xr:uid="{00000000-0005-0000-0000-000097060000}"/>
    <cellStyle name="Comma 11 2 2" xfId="1841" xr:uid="{00000000-0005-0000-0000-000098060000}"/>
    <cellStyle name="Comma 11 2 3" xfId="1842" xr:uid="{00000000-0005-0000-0000-000099060000}"/>
    <cellStyle name="Comma 11 2 4" xfId="1843" xr:uid="{00000000-0005-0000-0000-00009A060000}"/>
    <cellStyle name="Comma 11 2 5" xfId="1844" xr:uid="{00000000-0005-0000-0000-00009B060000}"/>
    <cellStyle name="Comma 11 2 6" xfId="1845" xr:uid="{00000000-0005-0000-0000-00009C060000}"/>
    <cellStyle name="Comma 11 2 7" xfId="1846" xr:uid="{00000000-0005-0000-0000-00009D060000}"/>
    <cellStyle name="Comma 11 2 8" xfId="1847" xr:uid="{00000000-0005-0000-0000-00009E060000}"/>
    <cellStyle name="Comma 11 2 9" xfId="1848" xr:uid="{00000000-0005-0000-0000-00009F060000}"/>
    <cellStyle name="Comma 11 3" xfId="1849" xr:uid="{00000000-0005-0000-0000-0000A0060000}"/>
    <cellStyle name="Comma 11 3 10" xfId="1850" xr:uid="{00000000-0005-0000-0000-0000A1060000}"/>
    <cellStyle name="Comma 11 3 11" xfId="1851" xr:uid="{00000000-0005-0000-0000-0000A2060000}"/>
    <cellStyle name="Comma 11 3 12" xfId="1852" xr:uid="{00000000-0005-0000-0000-0000A3060000}"/>
    <cellStyle name="Comma 11 3 13" xfId="1853" xr:uid="{00000000-0005-0000-0000-0000A4060000}"/>
    <cellStyle name="Comma 11 3 14" xfId="1854" xr:uid="{00000000-0005-0000-0000-0000A5060000}"/>
    <cellStyle name="Comma 11 3 15" xfId="1855" xr:uid="{00000000-0005-0000-0000-0000A6060000}"/>
    <cellStyle name="Comma 11 3 16" xfId="1856" xr:uid="{00000000-0005-0000-0000-0000A7060000}"/>
    <cellStyle name="Comma 11 3 2" xfId="1857" xr:uid="{00000000-0005-0000-0000-0000A8060000}"/>
    <cellStyle name="Comma 11 3 3" xfId="1858" xr:uid="{00000000-0005-0000-0000-0000A9060000}"/>
    <cellStyle name="Comma 11 3 4" xfId="1859" xr:uid="{00000000-0005-0000-0000-0000AA060000}"/>
    <cellStyle name="Comma 11 3 5" xfId="1860" xr:uid="{00000000-0005-0000-0000-0000AB060000}"/>
    <cellStyle name="Comma 11 3 6" xfId="1861" xr:uid="{00000000-0005-0000-0000-0000AC060000}"/>
    <cellStyle name="Comma 11 3 7" xfId="1862" xr:uid="{00000000-0005-0000-0000-0000AD060000}"/>
    <cellStyle name="Comma 11 3 8" xfId="1863" xr:uid="{00000000-0005-0000-0000-0000AE060000}"/>
    <cellStyle name="Comma 11 3 9" xfId="1864" xr:uid="{00000000-0005-0000-0000-0000AF060000}"/>
    <cellStyle name="Comma 11 4" xfId="1865" xr:uid="{00000000-0005-0000-0000-0000B0060000}"/>
    <cellStyle name="Comma 11 4 10" xfId="1866" xr:uid="{00000000-0005-0000-0000-0000B1060000}"/>
    <cellStyle name="Comma 11 4 11" xfId="1867" xr:uid="{00000000-0005-0000-0000-0000B2060000}"/>
    <cellStyle name="Comma 11 4 12" xfId="1868" xr:uid="{00000000-0005-0000-0000-0000B3060000}"/>
    <cellStyle name="Comma 11 4 13" xfId="1869" xr:uid="{00000000-0005-0000-0000-0000B4060000}"/>
    <cellStyle name="Comma 11 4 14" xfId="1870" xr:uid="{00000000-0005-0000-0000-0000B5060000}"/>
    <cellStyle name="Comma 11 4 15" xfId="1871" xr:uid="{00000000-0005-0000-0000-0000B6060000}"/>
    <cellStyle name="Comma 11 4 16" xfId="1872" xr:uid="{00000000-0005-0000-0000-0000B7060000}"/>
    <cellStyle name="Comma 11 4 2" xfId="1873" xr:uid="{00000000-0005-0000-0000-0000B8060000}"/>
    <cellStyle name="Comma 11 4 3" xfId="1874" xr:uid="{00000000-0005-0000-0000-0000B9060000}"/>
    <cellStyle name="Comma 11 4 4" xfId="1875" xr:uid="{00000000-0005-0000-0000-0000BA060000}"/>
    <cellStyle name="Comma 11 4 5" xfId="1876" xr:uid="{00000000-0005-0000-0000-0000BB060000}"/>
    <cellStyle name="Comma 11 4 6" xfId="1877" xr:uid="{00000000-0005-0000-0000-0000BC060000}"/>
    <cellStyle name="Comma 11 4 7" xfId="1878" xr:uid="{00000000-0005-0000-0000-0000BD060000}"/>
    <cellStyle name="Comma 11 4 8" xfId="1879" xr:uid="{00000000-0005-0000-0000-0000BE060000}"/>
    <cellStyle name="Comma 11 4 9" xfId="1880" xr:uid="{00000000-0005-0000-0000-0000BF060000}"/>
    <cellStyle name="Comma 11 5" xfId="1881" xr:uid="{00000000-0005-0000-0000-0000C0060000}"/>
    <cellStyle name="Comma 11 5 10" xfId="1882" xr:uid="{00000000-0005-0000-0000-0000C1060000}"/>
    <cellStyle name="Comma 11 5 11" xfId="1883" xr:uid="{00000000-0005-0000-0000-0000C2060000}"/>
    <cellStyle name="Comma 11 5 12" xfId="1884" xr:uid="{00000000-0005-0000-0000-0000C3060000}"/>
    <cellStyle name="Comma 11 5 13" xfId="1885" xr:uid="{00000000-0005-0000-0000-0000C4060000}"/>
    <cellStyle name="Comma 11 5 14" xfId="1886" xr:uid="{00000000-0005-0000-0000-0000C5060000}"/>
    <cellStyle name="Comma 11 5 15" xfId="1887" xr:uid="{00000000-0005-0000-0000-0000C6060000}"/>
    <cellStyle name="Comma 11 5 16" xfId="1888" xr:uid="{00000000-0005-0000-0000-0000C7060000}"/>
    <cellStyle name="Comma 11 5 2" xfId="1889" xr:uid="{00000000-0005-0000-0000-0000C8060000}"/>
    <cellStyle name="Comma 11 5 3" xfId="1890" xr:uid="{00000000-0005-0000-0000-0000C9060000}"/>
    <cellStyle name="Comma 11 5 4" xfId="1891" xr:uid="{00000000-0005-0000-0000-0000CA060000}"/>
    <cellStyle name="Comma 11 5 5" xfId="1892" xr:uid="{00000000-0005-0000-0000-0000CB060000}"/>
    <cellStyle name="Comma 11 5 6" xfId="1893" xr:uid="{00000000-0005-0000-0000-0000CC060000}"/>
    <cellStyle name="Comma 11 5 7" xfId="1894" xr:uid="{00000000-0005-0000-0000-0000CD060000}"/>
    <cellStyle name="Comma 11 5 8" xfId="1895" xr:uid="{00000000-0005-0000-0000-0000CE060000}"/>
    <cellStyle name="Comma 11 5 9" xfId="1896" xr:uid="{00000000-0005-0000-0000-0000CF060000}"/>
    <cellStyle name="Comma 11 6" xfId="1897" xr:uid="{00000000-0005-0000-0000-0000D0060000}"/>
    <cellStyle name="Comma 11 6 10" xfId="1898" xr:uid="{00000000-0005-0000-0000-0000D1060000}"/>
    <cellStyle name="Comma 11 6 11" xfId="1899" xr:uid="{00000000-0005-0000-0000-0000D2060000}"/>
    <cellStyle name="Comma 11 6 12" xfId="1900" xr:uid="{00000000-0005-0000-0000-0000D3060000}"/>
    <cellStyle name="Comma 11 6 13" xfId="1901" xr:uid="{00000000-0005-0000-0000-0000D4060000}"/>
    <cellStyle name="Comma 11 6 14" xfId="1902" xr:uid="{00000000-0005-0000-0000-0000D5060000}"/>
    <cellStyle name="Comma 11 6 15" xfId="1903" xr:uid="{00000000-0005-0000-0000-0000D6060000}"/>
    <cellStyle name="Comma 11 6 16" xfId="1904" xr:uid="{00000000-0005-0000-0000-0000D7060000}"/>
    <cellStyle name="Comma 11 6 2" xfId="1905" xr:uid="{00000000-0005-0000-0000-0000D8060000}"/>
    <cellStyle name="Comma 11 6 3" xfId="1906" xr:uid="{00000000-0005-0000-0000-0000D9060000}"/>
    <cellStyle name="Comma 11 6 4" xfId="1907" xr:uid="{00000000-0005-0000-0000-0000DA060000}"/>
    <cellStyle name="Comma 11 6 5" xfId="1908" xr:uid="{00000000-0005-0000-0000-0000DB060000}"/>
    <cellStyle name="Comma 11 6 6" xfId="1909" xr:uid="{00000000-0005-0000-0000-0000DC060000}"/>
    <cellStyle name="Comma 11 6 7" xfId="1910" xr:uid="{00000000-0005-0000-0000-0000DD060000}"/>
    <cellStyle name="Comma 11 6 8" xfId="1911" xr:uid="{00000000-0005-0000-0000-0000DE060000}"/>
    <cellStyle name="Comma 11 6 9" xfId="1912" xr:uid="{00000000-0005-0000-0000-0000DF060000}"/>
    <cellStyle name="Comma 11 7" xfId="1913" xr:uid="{00000000-0005-0000-0000-0000E0060000}"/>
    <cellStyle name="Comma 11 7 10" xfId="1914" xr:uid="{00000000-0005-0000-0000-0000E1060000}"/>
    <cellStyle name="Comma 11 7 11" xfId="1915" xr:uid="{00000000-0005-0000-0000-0000E2060000}"/>
    <cellStyle name="Comma 11 7 12" xfId="1916" xr:uid="{00000000-0005-0000-0000-0000E3060000}"/>
    <cellStyle name="Comma 11 7 13" xfId="1917" xr:uid="{00000000-0005-0000-0000-0000E4060000}"/>
    <cellStyle name="Comma 11 7 14" xfId="1918" xr:uid="{00000000-0005-0000-0000-0000E5060000}"/>
    <cellStyle name="Comma 11 7 15" xfId="1919" xr:uid="{00000000-0005-0000-0000-0000E6060000}"/>
    <cellStyle name="Comma 11 7 16" xfId="1920" xr:uid="{00000000-0005-0000-0000-0000E7060000}"/>
    <cellStyle name="Comma 11 7 2" xfId="1921" xr:uid="{00000000-0005-0000-0000-0000E8060000}"/>
    <cellStyle name="Comma 11 7 3" xfId="1922" xr:uid="{00000000-0005-0000-0000-0000E9060000}"/>
    <cellStyle name="Comma 11 7 4" xfId="1923" xr:uid="{00000000-0005-0000-0000-0000EA060000}"/>
    <cellStyle name="Comma 11 7 5" xfId="1924" xr:uid="{00000000-0005-0000-0000-0000EB060000}"/>
    <cellStyle name="Comma 11 7 6" xfId="1925" xr:uid="{00000000-0005-0000-0000-0000EC060000}"/>
    <cellStyle name="Comma 11 7 7" xfId="1926" xr:uid="{00000000-0005-0000-0000-0000ED060000}"/>
    <cellStyle name="Comma 11 7 8" xfId="1927" xr:uid="{00000000-0005-0000-0000-0000EE060000}"/>
    <cellStyle name="Comma 11 7 9" xfId="1928" xr:uid="{00000000-0005-0000-0000-0000EF060000}"/>
    <cellStyle name="Comma 11 8" xfId="1929" xr:uid="{00000000-0005-0000-0000-0000F0060000}"/>
    <cellStyle name="Comma 12" xfId="1930" xr:uid="{00000000-0005-0000-0000-0000F1060000}"/>
    <cellStyle name="Comma 12 10" xfId="1931" xr:uid="{00000000-0005-0000-0000-0000F2060000}"/>
    <cellStyle name="Comma 12 11" xfId="1932" xr:uid="{00000000-0005-0000-0000-0000F3060000}"/>
    <cellStyle name="Comma 12 12" xfId="1933" xr:uid="{00000000-0005-0000-0000-0000F4060000}"/>
    <cellStyle name="Comma 12 13" xfId="1934" xr:uid="{00000000-0005-0000-0000-0000F5060000}"/>
    <cellStyle name="Comma 12 14" xfId="1935" xr:uid="{00000000-0005-0000-0000-0000F6060000}"/>
    <cellStyle name="Comma 12 15" xfId="1936" xr:uid="{00000000-0005-0000-0000-0000F7060000}"/>
    <cellStyle name="Comma 12 16" xfId="1937" xr:uid="{00000000-0005-0000-0000-0000F8060000}"/>
    <cellStyle name="Comma 12 17" xfId="1938" xr:uid="{00000000-0005-0000-0000-0000F9060000}"/>
    <cellStyle name="Comma 12 18" xfId="1939" xr:uid="{00000000-0005-0000-0000-0000FA060000}"/>
    <cellStyle name="Comma 12 19" xfId="1940" xr:uid="{00000000-0005-0000-0000-0000FB060000}"/>
    <cellStyle name="Comma 12 2" xfId="1941" xr:uid="{00000000-0005-0000-0000-0000FC060000}"/>
    <cellStyle name="Comma 12 20" xfId="1942" xr:uid="{00000000-0005-0000-0000-0000FD060000}"/>
    <cellStyle name="Comma 12 21" xfId="1943" xr:uid="{00000000-0005-0000-0000-0000FE060000}"/>
    <cellStyle name="Comma 12 22" xfId="1944" xr:uid="{00000000-0005-0000-0000-0000FF060000}"/>
    <cellStyle name="Comma 12 23" xfId="1945" xr:uid="{00000000-0005-0000-0000-000000070000}"/>
    <cellStyle name="Comma 12 24" xfId="1946" xr:uid="{00000000-0005-0000-0000-000001070000}"/>
    <cellStyle name="Comma 12 25" xfId="1947" xr:uid="{00000000-0005-0000-0000-000002070000}"/>
    <cellStyle name="Comma 12 3" xfId="1948" xr:uid="{00000000-0005-0000-0000-000003070000}"/>
    <cellStyle name="Comma 12 4" xfId="1949" xr:uid="{00000000-0005-0000-0000-000004070000}"/>
    <cellStyle name="Comma 12 5" xfId="1950" xr:uid="{00000000-0005-0000-0000-000005070000}"/>
    <cellStyle name="Comma 12 6" xfId="1951" xr:uid="{00000000-0005-0000-0000-000006070000}"/>
    <cellStyle name="Comma 12 7" xfId="1952" xr:uid="{00000000-0005-0000-0000-000007070000}"/>
    <cellStyle name="Comma 12 8" xfId="1953" xr:uid="{00000000-0005-0000-0000-000008070000}"/>
    <cellStyle name="Comma 12 9" xfId="1954" xr:uid="{00000000-0005-0000-0000-000009070000}"/>
    <cellStyle name="Comma 13" xfId="1955" xr:uid="{00000000-0005-0000-0000-00000A070000}"/>
    <cellStyle name="Comma 13 2" xfId="1956" xr:uid="{00000000-0005-0000-0000-00000B070000}"/>
    <cellStyle name="Comma 13 3" xfId="1957" xr:uid="{00000000-0005-0000-0000-00000C070000}"/>
    <cellStyle name="Comma 14 2" xfId="1958" xr:uid="{00000000-0005-0000-0000-00000D070000}"/>
    <cellStyle name="Comma 14 3" xfId="1959" xr:uid="{00000000-0005-0000-0000-00000E070000}"/>
    <cellStyle name="Comma 2" xfId="2" xr:uid="{00000000-0005-0000-0000-00000F070000}"/>
    <cellStyle name="Comma 2 10" xfId="1960" xr:uid="{00000000-0005-0000-0000-000010070000}"/>
    <cellStyle name="Comma 2 11" xfId="1961" xr:uid="{00000000-0005-0000-0000-000011070000}"/>
    <cellStyle name="Comma 2 11 2" xfId="1962" xr:uid="{00000000-0005-0000-0000-000012070000}"/>
    <cellStyle name="Comma 2 11 2 2" xfId="1963" xr:uid="{00000000-0005-0000-0000-000013070000}"/>
    <cellStyle name="Comma 2 11 2 3" xfId="1964" xr:uid="{00000000-0005-0000-0000-000014070000}"/>
    <cellStyle name="Comma 2 11 3" xfId="1965" xr:uid="{00000000-0005-0000-0000-000015070000}"/>
    <cellStyle name="Comma 2 11 4" xfId="1966" xr:uid="{00000000-0005-0000-0000-000016070000}"/>
    <cellStyle name="Comma 2 11 5" xfId="1967" xr:uid="{00000000-0005-0000-0000-000017070000}"/>
    <cellStyle name="Comma 2 12" xfId="1968" xr:uid="{00000000-0005-0000-0000-000018070000}"/>
    <cellStyle name="Comma 2 12 2" xfId="1969" xr:uid="{00000000-0005-0000-0000-000019070000}"/>
    <cellStyle name="Comma 2 12 2 2" xfId="1970" xr:uid="{00000000-0005-0000-0000-00001A070000}"/>
    <cellStyle name="Comma 2 12 2 3" xfId="1971" xr:uid="{00000000-0005-0000-0000-00001B070000}"/>
    <cellStyle name="Comma 2 12 3" xfId="1972" xr:uid="{00000000-0005-0000-0000-00001C070000}"/>
    <cellStyle name="Comma 2 13" xfId="1973" xr:uid="{00000000-0005-0000-0000-00001D070000}"/>
    <cellStyle name="Comma 2 14" xfId="1974" xr:uid="{00000000-0005-0000-0000-00001E070000}"/>
    <cellStyle name="Comma 2 15" xfId="1975" xr:uid="{00000000-0005-0000-0000-00001F070000}"/>
    <cellStyle name="Comma 2 16" xfId="1976" xr:uid="{00000000-0005-0000-0000-000020070000}"/>
    <cellStyle name="Comma 2 17" xfId="1977" xr:uid="{00000000-0005-0000-0000-000021070000}"/>
    <cellStyle name="Comma 2 18" xfId="1978" xr:uid="{00000000-0005-0000-0000-000022070000}"/>
    <cellStyle name="Comma 2 19" xfId="1979" xr:uid="{00000000-0005-0000-0000-000023070000}"/>
    <cellStyle name="Comma 2 2" xfId="86" xr:uid="{00000000-0005-0000-0000-000024070000}"/>
    <cellStyle name="Comma 2 2 10" xfId="1980" xr:uid="{00000000-0005-0000-0000-000025070000}"/>
    <cellStyle name="Comma 2 2 11" xfId="1981" xr:uid="{00000000-0005-0000-0000-000026070000}"/>
    <cellStyle name="Comma 2 2 12" xfId="1982" xr:uid="{00000000-0005-0000-0000-000027070000}"/>
    <cellStyle name="Comma 2 2 13" xfId="1983" xr:uid="{00000000-0005-0000-0000-000028070000}"/>
    <cellStyle name="Comma 2 2 14" xfId="1984" xr:uid="{00000000-0005-0000-0000-000029070000}"/>
    <cellStyle name="Comma 2 2 15" xfId="1985" xr:uid="{00000000-0005-0000-0000-00002A070000}"/>
    <cellStyle name="Comma 2 2 16" xfId="1986" xr:uid="{00000000-0005-0000-0000-00002B070000}"/>
    <cellStyle name="Comma 2 2 17" xfId="1987" xr:uid="{00000000-0005-0000-0000-00002C070000}"/>
    <cellStyle name="Comma 2 2 18" xfId="1988" xr:uid="{00000000-0005-0000-0000-00002D070000}"/>
    <cellStyle name="Comma 2 2 19" xfId="1989" xr:uid="{00000000-0005-0000-0000-00002E070000}"/>
    <cellStyle name="Comma 2 2 2" xfId="1990" xr:uid="{00000000-0005-0000-0000-00002F070000}"/>
    <cellStyle name="Comma 2 2 2 10" xfId="1991" xr:uid="{00000000-0005-0000-0000-000030070000}"/>
    <cellStyle name="Comma 2 2 2 11" xfId="1992" xr:uid="{00000000-0005-0000-0000-000031070000}"/>
    <cellStyle name="Comma 2 2 2 12" xfId="1993" xr:uid="{00000000-0005-0000-0000-000032070000}"/>
    <cellStyle name="Comma 2 2 2 13" xfId="1994" xr:uid="{00000000-0005-0000-0000-000033070000}"/>
    <cellStyle name="Comma 2 2 2 14" xfId="1995" xr:uid="{00000000-0005-0000-0000-000034070000}"/>
    <cellStyle name="Comma 2 2 2 15" xfId="1996" xr:uid="{00000000-0005-0000-0000-000035070000}"/>
    <cellStyle name="Comma 2 2 2 16" xfId="1997" xr:uid="{00000000-0005-0000-0000-000036070000}"/>
    <cellStyle name="Comma 2 2 2 17" xfId="1998" xr:uid="{00000000-0005-0000-0000-000037070000}"/>
    <cellStyle name="Comma 2 2 2 18" xfId="1999" xr:uid="{00000000-0005-0000-0000-000038070000}"/>
    <cellStyle name="Comma 2 2 2 19" xfId="2000" xr:uid="{00000000-0005-0000-0000-000039070000}"/>
    <cellStyle name="Comma 2 2 2 2" xfId="2001" xr:uid="{00000000-0005-0000-0000-00003A070000}"/>
    <cellStyle name="Comma 2 2 2 20" xfId="2002" xr:uid="{00000000-0005-0000-0000-00003B070000}"/>
    <cellStyle name="Comma 2 2 2 21" xfId="2003" xr:uid="{00000000-0005-0000-0000-00003C070000}"/>
    <cellStyle name="Comma 2 2 2 22" xfId="2004" xr:uid="{00000000-0005-0000-0000-00003D070000}"/>
    <cellStyle name="Comma 2 2 2 23" xfId="2005" xr:uid="{00000000-0005-0000-0000-00003E070000}"/>
    <cellStyle name="Comma 2 2 2 24" xfId="2006" xr:uid="{00000000-0005-0000-0000-00003F070000}"/>
    <cellStyle name="Comma 2 2 2 25" xfId="2007" xr:uid="{00000000-0005-0000-0000-000040070000}"/>
    <cellStyle name="Comma 2 2 2 26" xfId="2008" xr:uid="{00000000-0005-0000-0000-000041070000}"/>
    <cellStyle name="Comma 2 2 2 27" xfId="2009" xr:uid="{00000000-0005-0000-0000-000042070000}"/>
    <cellStyle name="Comma 2 2 2 28" xfId="2010" xr:uid="{00000000-0005-0000-0000-000043070000}"/>
    <cellStyle name="Comma 2 2 2 29" xfId="2011" xr:uid="{00000000-0005-0000-0000-000044070000}"/>
    <cellStyle name="Comma 2 2 2 3" xfId="2012" xr:uid="{00000000-0005-0000-0000-000045070000}"/>
    <cellStyle name="Comma 2 2 2 30" xfId="2013" xr:uid="{00000000-0005-0000-0000-000046070000}"/>
    <cellStyle name="Comma 2 2 2 31" xfId="2014" xr:uid="{00000000-0005-0000-0000-000047070000}"/>
    <cellStyle name="Comma 2 2 2 32" xfId="2015" xr:uid="{00000000-0005-0000-0000-000048070000}"/>
    <cellStyle name="Comma 2 2 2 33" xfId="2016" xr:uid="{00000000-0005-0000-0000-000049070000}"/>
    <cellStyle name="Comma 2 2 2 34" xfId="2017" xr:uid="{00000000-0005-0000-0000-00004A070000}"/>
    <cellStyle name="Comma 2 2 2 35" xfId="2018" xr:uid="{00000000-0005-0000-0000-00004B070000}"/>
    <cellStyle name="Comma 2 2 2 36" xfId="2019" xr:uid="{00000000-0005-0000-0000-00004C070000}"/>
    <cellStyle name="Comma 2 2 2 37" xfId="2020" xr:uid="{00000000-0005-0000-0000-00004D070000}"/>
    <cellStyle name="Comma 2 2 2 38" xfId="2021" xr:uid="{00000000-0005-0000-0000-00004E070000}"/>
    <cellStyle name="Comma 2 2 2 39" xfId="2022" xr:uid="{00000000-0005-0000-0000-00004F070000}"/>
    <cellStyle name="Comma 2 2 2 4" xfId="2023" xr:uid="{00000000-0005-0000-0000-000050070000}"/>
    <cellStyle name="Comma 2 2 2 40" xfId="2024" xr:uid="{00000000-0005-0000-0000-000051070000}"/>
    <cellStyle name="Comma 2 2 2 41" xfId="2025" xr:uid="{00000000-0005-0000-0000-000052070000}"/>
    <cellStyle name="Comma 2 2 2 42" xfId="2026" xr:uid="{00000000-0005-0000-0000-000053070000}"/>
    <cellStyle name="Comma 2 2 2 43" xfId="2027" xr:uid="{00000000-0005-0000-0000-000054070000}"/>
    <cellStyle name="Comma 2 2 2 44" xfId="2028" xr:uid="{00000000-0005-0000-0000-000055070000}"/>
    <cellStyle name="Comma 2 2 2 45" xfId="2029" xr:uid="{00000000-0005-0000-0000-000056070000}"/>
    <cellStyle name="Comma 2 2 2 5" xfId="2030" xr:uid="{00000000-0005-0000-0000-000057070000}"/>
    <cellStyle name="Comma 2 2 2 6" xfId="2031" xr:uid="{00000000-0005-0000-0000-000058070000}"/>
    <cellStyle name="Comma 2 2 2 7" xfId="2032" xr:uid="{00000000-0005-0000-0000-000059070000}"/>
    <cellStyle name="Comma 2 2 2 8" xfId="2033" xr:uid="{00000000-0005-0000-0000-00005A070000}"/>
    <cellStyle name="Comma 2 2 2 9" xfId="2034" xr:uid="{00000000-0005-0000-0000-00005B070000}"/>
    <cellStyle name="Comma 2 2 20" xfId="2035" xr:uid="{00000000-0005-0000-0000-00005C070000}"/>
    <cellStyle name="Comma 2 2 21" xfId="2036" xr:uid="{00000000-0005-0000-0000-00005D070000}"/>
    <cellStyle name="Comma 2 2 22" xfId="2037" xr:uid="{00000000-0005-0000-0000-00005E070000}"/>
    <cellStyle name="Comma 2 2 23" xfId="2038" xr:uid="{00000000-0005-0000-0000-00005F070000}"/>
    <cellStyle name="Comma 2 2 3" xfId="2039" xr:uid="{00000000-0005-0000-0000-000060070000}"/>
    <cellStyle name="Comma 2 2 3 2" xfId="2040" xr:uid="{00000000-0005-0000-0000-000061070000}"/>
    <cellStyle name="Comma 2 2 3 2 2" xfId="2041" xr:uid="{00000000-0005-0000-0000-000062070000}"/>
    <cellStyle name="Comma 2 2 3 2 3" xfId="2042" xr:uid="{00000000-0005-0000-0000-000063070000}"/>
    <cellStyle name="Comma 2 2 3 3" xfId="2043" xr:uid="{00000000-0005-0000-0000-000064070000}"/>
    <cellStyle name="Comma 2 2 4" xfId="2044" xr:uid="{00000000-0005-0000-0000-000065070000}"/>
    <cellStyle name="Comma 2 2 4 2" xfId="2045" xr:uid="{00000000-0005-0000-0000-000066070000}"/>
    <cellStyle name="Comma 2 2 4 2 2" xfId="2046" xr:uid="{00000000-0005-0000-0000-000067070000}"/>
    <cellStyle name="Comma 2 2 4 2 3" xfId="2047" xr:uid="{00000000-0005-0000-0000-000068070000}"/>
    <cellStyle name="Comma 2 2 4 3" xfId="2048" xr:uid="{00000000-0005-0000-0000-000069070000}"/>
    <cellStyle name="Comma 2 2 5" xfId="2049" xr:uid="{00000000-0005-0000-0000-00006A070000}"/>
    <cellStyle name="Comma 2 2 6" xfId="2050" xr:uid="{00000000-0005-0000-0000-00006B070000}"/>
    <cellStyle name="Comma 2 2 7" xfId="2051" xr:uid="{00000000-0005-0000-0000-00006C070000}"/>
    <cellStyle name="Comma 2 2 8" xfId="2052" xr:uid="{00000000-0005-0000-0000-00006D070000}"/>
    <cellStyle name="Comma 2 2 9" xfId="2053" xr:uid="{00000000-0005-0000-0000-00006E070000}"/>
    <cellStyle name="Comma 2 20" xfId="2054" xr:uid="{00000000-0005-0000-0000-00006F070000}"/>
    <cellStyle name="Comma 2 21" xfId="2055" xr:uid="{00000000-0005-0000-0000-000070070000}"/>
    <cellStyle name="Comma 2 22" xfId="2056" xr:uid="{00000000-0005-0000-0000-000071070000}"/>
    <cellStyle name="Comma 2 23" xfId="2057" xr:uid="{00000000-0005-0000-0000-000072070000}"/>
    <cellStyle name="Comma 2 24" xfId="2058" xr:uid="{00000000-0005-0000-0000-000073070000}"/>
    <cellStyle name="Comma 2 25" xfId="2059" xr:uid="{00000000-0005-0000-0000-000074070000}"/>
    <cellStyle name="Comma 2 26" xfId="2060" xr:uid="{00000000-0005-0000-0000-000075070000}"/>
    <cellStyle name="Comma 2 3" xfId="54" xr:uid="{00000000-0005-0000-0000-000076070000}"/>
    <cellStyle name="Comma 2 3 10" xfId="2061" xr:uid="{00000000-0005-0000-0000-000077070000}"/>
    <cellStyle name="Comma 2 3 11" xfId="2062" xr:uid="{00000000-0005-0000-0000-000078070000}"/>
    <cellStyle name="Comma 2 3 12" xfId="2063" xr:uid="{00000000-0005-0000-0000-000079070000}"/>
    <cellStyle name="Comma 2 3 13" xfId="2064" xr:uid="{00000000-0005-0000-0000-00007A070000}"/>
    <cellStyle name="Comma 2 3 14" xfId="2065" xr:uid="{00000000-0005-0000-0000-00007B070000}"/>
    <cellStyle name="Comma 2 3 15" xfId="2066" xr:uid="{00000000-0005-0000-0000-00007C070000}"/>
    <cellStyle name="Comma 2 3 16" xfId="2067" xr:uid="{00000000-0005-0000-0000-00007D070000}"/>
    <cellStyle name="Comma 2 3 17" xfId="2068" xr:uid="{00000000-0005-0000-0000-00007E070000}"/>
    <cellStyle name="Comma 2 3 18" xfId="2069" xr:uid="{00000000-0005-0000-0000-00007F070000}"/>
    <cellStyle name="Comma 2 3 19" xfId="2070" xr:uid="{00000000-0005-0000-0000-000080070000}"/>
    <cellStyle name="Comma 2 3 2" xfId="2071" xr:uid="{00000000-0005-0000-0000-000081070000}"/>
    <cellStyle name="Comma 2 3 20" xfId="2072" xr:uid="{00000000-0005-0000-0000-000082070000}"/>
    <cellStyle name="Comma 2 3 3" xfId="2073" xr:uid="{00000000-0005-0000-0000-000083070000}"/>
    <cellStyle name="Comma 2 3 4" xfId="2074" xr:uid="{00000000-0005-0000-0000-000084070000}"/>
    <cellStyle name="Comma 2 3 5" xfId="2075" xr:uid="{00000000-0005-0000-0000-000085070000}"/>
    <cellStyle name="Comma 2 3 6" xfId="2076" xr:uid="{00000000-0005-0000-0000-000086070000}"/>
    <cellStyle name="Comma 2 3 7" xfId="2077" xr:uid="{00000000-0005-0000-0000-000087070000}"/>
    <cellStyle name="Comma 2 3 8" xfId="2078" xr:uid="{00000000-0005-0000-0000-000088070000}"/>
    <cellStyle name="Comma 2 3 9" xfId="2079" xr:uid="{00000000-0005-0000-0000-000089070000}"/>
    <cellStyle name="Comma 2 4" xfId="2080" xr:uid="{00000000-0005-0000-0000-00008A070000}"/>
    <cellStyle name="Comma 2 4 10" xfId="2081" xr:uid="{00000000-0005-0000-0000-00008B070000}"/>
    <cellStyle name="Comma 2 4 11" xfId="2082" xr:uid="{00000000-0005-0000-0000-00008C070000}"/>
    <cellStyle name="Comma 2 4 12" xfId="2083" xr:uid="{00000000-0005-0000-0000-00008D070000}"/>
    <cellStyle name="Comma 2 4 13" xfId="2084" xr:uid="{00000000-0005-0000-0000-00008E070000}"/>
    <cellStyle name="Comma 2 4 14" xfId="2085" xr:uid="{00000000-0005-0000-0000-00008F070000}"/>
    <cellStyle name="Comma 2 4 15" xfId="2086" xr:uid="{00000000-0005-0000-0000-000090070000}"/>
    <cellStyle name="Comma 2 4 16" xfId="2087" xr:uid="{00000000-0005-0000-0000-000091070000}"/>
    <cellStyle name="Comma 2 4 17" xfId="2088" xr:uid="{00000000-0005-0000-0000-000092070000}"/>
    <cellStyle name="Comma 2 4 18" xfId="2089" xr:uid="{00000000-0005-0000-0000-000093070000}"/>
    <cellStyle name="Comma 2 4 19" xfId="2090" xr:uid="{00000000-0005-0000-0000-000094070000}"/>
    <cellStyle name="Comma 2 4 2" xfId="2091" xr:uid="{00000000-0005-0000-0000-000095070000}"/>
    <cellStyle name="Comma 2 4 3" xfId="2092" xr:uid="{00000000-0005-0000-0000-000096070000}"/>
    <cellStyle name="Comma 2 4 4" xfId="2093" xr:uid="{00000000-0005-0000-0000-000097070000}"/>
    <cellStyle name="Comma 2 4 5" xfId="2094" xr:uid="{00000000-0005-0000-0000-000098070000}"/>
    <cellStyle name="Comma 2 4 6" xfId="2095" xr:uid="{00000000-0005-0000-0000-000099070000}"/>
    <cellStyle name="Comma 2 4 7" xfId="2096" xr:uid="{00000000-0005-0000-0000-00009A070000}"/>
    <cellStyle name="Comma 2 4 8" xfId="2097" xr:uid="{00000000-0005-0000-0000-00009B070000}"/>
    <cellStyle name="Comma 2 4 9" xfId="2098" xr:uid="{00000000-0005-0000-0000-00009C070000}"/>
    <cellStyle name="Comma 2 5" xfId="2099" xr:uid="{00000000-0005-0000-0000-00009D070000}"/>
    <cellStyle name="Comma 2 5 10" xfId="2100" xr:uid="{00000000-0005-0000-0000-00009E070000}"/>
    <cellStyle name="Comma 2 5 11" xfId="2101" xr:uid="{00000000-0005-0000-0000-00009F070000}"/>
    <cellStyle name="Comma 2 5 12" xfId="2102" xr:uid="{00000000-0005-0000-0000-0000A0070000}"/>
    <cellStyle name="Comma 2 5 13" xfId="2103" xr:uid="{00000000-0005-0000-0000-0000A1070000}"/>
    <cellStyle name="Comma 2 5 14" xfId="2104" xr:uid="{00000000-0005-0000-0000-0000A2070000}"/>
    <cellStyle name="Comma 2 5 15" xfId="2105" xr:uid="{00000000-0005-0000-0000-0000A3070000}"/>
    <cellStyle name="Comma 2 5 16" xfId="2106" xr:uid="{00000000-0005-0000-0000-0000A4070000}"/>
    <cellStyle name="Comma 2 5 17" xfId="2107" xr:uid="{00000000-0005-0000-0000-0000A5070000}"/>
    <cellStyle name="Comma 2 5 18" xfId="2108" xr:uid="{00000000-0005-0000-0000-0000A6070000}"/>
    <cellStyle name="Comma 2 5 19" xfId="2109" xr:uid="{00000000-0005-0000-0000-0000A7070000}"/>
    <cellStyle name="Comma 2 5 2" xfId="2110" xr:uid="{00000000-0005-0000-0000-0000A8070000}"/>
    <cellStyle name="Comma 2 5 3" xfId="2111" xr:uid="{00000000-0005-0000-0000-0000A9070000}"/>
    <cellStyle name="Comma 2 5 4" xfId="2112" xr:uid="{00000000-0005-0000-0000-0000AA070000}"/>
    <cellStyle name="Comma 2 5 5" xfId="2113" xr:uid="{00000000-0005-0000-0000-0000AB070000}"/>
    <cellStyle name="Comma 2 5 6" xfId="2114" xr:uid="{00000000-0005-0000-0000-0000AC070000}"/>
    <cellStyle name="Comma 2 5 7" xfId="2115" xr:uid="{00000000-0005-0000-0000-0000AD070000}"/>
    <cellStyle name="Comma 2 5 8" xfId="2116" xr:uid="{00000000-0005-0000-0000-0000AE070000}"/>
    <cellStyle name="Comma 2 5 9" xfId="2117" xr:uid="{00000000-0005-0000-0000-0000AF070000}"/>
    <cellStyle name="Comma 2 6" xfId="2118" xr:uid="{00000000-0005-0000-0000-0000B0070000}"/>
    <cellStyle name="Comma 2 6 10" xfId="2119" xr:uid="{00000000-0005-0000-0000-0000B1070000}"/>
    <cellStyle name="Comma 2 6 11" xfId="2120" xr:uid="{00000000-0005-0000-0000-0000B2070000}"/>
    <cellStyle name="Comma 2 6 12" xfId="2121" xr:uid="{00000000-0005-0000-0000-0000B3070000}"/>
    <cellStyle name="Comma 2 6 13" xfId="2122" xr:uid="{00000000-0005-0000-0000-0000B4070000}"/>
    <cellStyle name="Comma 2 6 14" xfId="2123" xr:uid="{00000000-0005-0000-0000-0000B5070000}"/>
    <cellStyle name="Comma 2 6 15" xfId="2124" xr:uid="{00000000-0005-0000-0000-0000B6070000}"/>
    <cellStyle name="Comma 2 6 16" xfId="2125" xr:uid="{00000000-0005-0000-0000-0000B7070000}"/>
    <cellStyle name="Comma 2 6 17" xfId="2126" xr:uid="{00000000-0005-0000-0000-0000B8070000}"/>
    <cellStyle name="Comma 2 6 18" xfId="2127" xr:uid="{00000000-0005-0000-0000-0000B9070000}"/>
    <cellStyle name="Comma 2 6 19" xfId="2128" xr:uid="{00000000-0005-0000-0000-0000BA070000}"/>
    <cellStyle name="Comma 2 6 2" xfId="2129" xr:uid="{00000000-0005-0000-0000-0000BB070000}"/>
    <cellStyle name="Comma 2 6 20" xfId="2130" xr:uid="{00000000-0005-0000-0000-0000BC070000}"/>
    <cellStyle name="Comma 2 6 21" xfId="2131" xr:uid="{00000000-0005-0000-0000-0000BD070000}"/>
    <cellStyle name="Comma 2 6 22" xfId="2132" xr:uid="{00000000-0005-0000-0000-0000BE070000}"/>
    <cellStyle name="Comma 2 6 23" xfId="2133" xr:uid="{00000000-0005-0000-0000-0000BF070000}"/>
    <cellStyle name="Comma 2 6 24" xfId="2134" xr:uid="{00000000-0005-0000-0000-0000C0070000}"/>
    <cellStyle name="Comma 2 6 25" xfId="2135" xr:uid="{00000000-0005-0000-0000-0000C1070000}"/>
    <cellStyle name="Comma 2 6 26" xfId="2136" xr:uid="{00000000-0005-0000-0000-0000C2070000}"/>
    <cellStyle name="Comma 2 6 27" xfId="2137" xr:uid="{00000000-0005-0000-0000-0000C3070000}"/>
    <cellStyle name="Comma 2 6 28" xfId="2138" xr:uid="{00000000-0005-0000-0000-0000C4070000}"/>
    <cellStyle name="Comma 2 6 29" xfId="2139" xr:uid="{00000000-0005-0000-0000-0000C5070000}"/>
    <cellStyle name="Comma 2 6 3" xfId="2140" xr:uid="{00000000-0005-0000-0000-0000C6070000}"/>
    <cellStyle name="Comma 2 6 30" xfId="2141" xr:uid="{00000000-0005-0000-0000-0000C7070000}"/>
    <cellStyle name="Comma 2 6 31" xfId="2142" xr:uid="{00000000-0005-0000-0000-0000C8070000}"/>
    <cellStyle name="Comma 2 6 32" xfId="2143" xr:uid="{00000000-0005-0000-0000-0000C9070000}"/>
    <cellStyle name="Comma 2 6 33" xfId="2144" xr:uid="{00000000-0005-0000-0000-0000CA070000}"/>
    <cellStyle name="Comma 2 6 34" xfId="2145" xr:uid="{00000000-0005-0000-0000-0000CB070000}"/>
    <cellStyle name="Comma 2 6 35" xfId="2146" xr:uid="{00000000-0005-0000-0000-0000CC070000}"/>
    <cellStyle name="Comma 2 6 36" xfId="2147" xr:uid="{00000000-0005-0000-0000-0000CD070000}"/>
    <cellStyle name="Comma 2 6 37" xfId="2148" xr:uid="{00000000-0005-0000-0000-0000CE070000}"/>
    <cellStyle name="Comma 2 6 38" xfId="2149" xr:uid="{00000000-0005-0000-0000-0000CF070000}"/>
    <cellStyle name="Comma 2 6 39" xfId="2150" xr:uid="{00000000-0005-0000-0000-0000D0070000}"/>
    <cellStyle name="Comma 2 6 4" xfId="2151" xr:uid="{00000000-0005-0000-0000-0000D1070000}"/>
    <cellStyle name="Comma 2 6 40" xfId="2152" xr:uid="{00000000-0005-0000-0000-0000D2070000}"/>
    <cellStyle name="Comma 2 6 41" xfId="2153" xr:uid="{00000000-0005-0000-0000-0000D3070000}"/>
    <cellStyle name="Comma 2 6 42" xfId="2154" xr:uid="{00000000-0005-0000-0000-0000D4070000}"/>
    <cellStyle name="Comma 2 6 43" xfId="2155" xr:uid="{00000000-0005-0000-0000-0000D5070000}"/>
    <cellStyle name="Comma 2 6 44" xfId="2156" xr:uid="{00000000-0005-0000-0000-0000D6070000}"/>
    <cellStyle name="Comma 2 6 45" xfId="2157" xr:uid="{00000000-0005-0000-0000-0000D7070000}"/>
    <cellStyle name="Comma 2 6 5" xfId="2158" xr:uid="{00000000-0005-0000-0000-0000D8070000}"/>
    <cellStyle name="Comma 2 6 6" xfId="2159" xr:uid="{00000000-0005-0000-0000-0000D9070000}"/>
    <cellStyle name="Comma 2 6 7" xfId="2160" xr:uid="{00000000-0005-0000-0000-0000DA070000}"/>
    <cellStyle name="Comma 2 6 8" xfId="2161" xr:uid="{00000000-0005-0000-0000-0000DB070000}"/>
    <cellStyle name="Comma 2 6 9" xfId="2162" xr:uid="{00000000-0005-0000-0000-0000DC070000}"/>
    <cellStyle name="Comma 2 7" xfId="2163" xr:uid="{00000000-0005-0000-0000-0000DD070000}"/>
    <cellStyle name="Comma 2 8" xfId="2164" xr:uid="{00000000-0005-0000-0000-0000DE070000}"/>
    <cellStyle name="Comma 2 9" xfId="2165" xr:uid="{00000000-0005-0000-0000-0000DF070000}"/>
    <cellStyle name="Comma 3" xfId="3" xr:uid="{00000000-0005-0000-0000-0000E0070000}"/>
    <cellStyle name="Comma 3 10" xfId="2166" xr:uid="{00000000-0005-0000-0000-0000E1070000}"/>
    <cellStyle name="Comma 3 11" xfId="2167" xr:uid="{00000000-0005-0000-0000-0000E2070000}"/>
    <cellStyle name="Comma 3 12" xfId="2168" xr:uid="{00000000-0005-0000-0000-0000E3070000}"/>
    <cellStyle name="Comma 3 13" xfId="2169" xr:uid="{00000000-0005-0000-0000-0000E4070000}"/>
    <cellStyle name="Comma 3 14" xfId="2170" xr:uid="{00000000-0005-0000-0000-0000E5070000}"/>
    <cellStyle name="Comma 3 15" xfId="2171" xr:uid="{00000000-0005-0000-0000-0000E6070000}"/>
    <cellStyle name="Comma 3 16" xfId="2172" xr:uid="{00000000-0005-0000-0000-0000E7070000}"/>
    <cellStyle name="Comma 3 17" xfId="2173" xr:uid="{00000000-0005-0000-0000-0000E8070000}"/>
    <cellStyle name="Comma 3 18" xfId="2174" xr:uid="{00000000-0005-0000-0000-0000E9070000}"/>
    <cellStyle name="Comma 3 19" xfId="2175" xr:uid="{00000000-0005-0000-0000-0000EA070000}"/>
    <cellStyle name="Comma 3 2" xfId="138" xr:uid="{00000000-0005-0000-0000-0000EB070000}"/>
    <cellStyle name="Comma 3 2 2" xfId="2176" xr:uid="{00000000-0005-0000-0000-0000EC070000}"/>
    <cellStyle name="Comma 3 20" xfId="2177" xr:uid="{00000000-0005-0000-0000-0000ED070000}"/>
    <cellStyle name="Comma 3 21" xfId="2178" xr:uid="{00000000-0005-0000-0000-0000EE070000}"/>
    <cellStyle name="Comma 3 3" xfId="87" xr:uid="{00000000-0005-0000-0000-0000EF070000}"/>
    <cellStyle name="Comma 3 4" xfId="2179" xr:uid="{00000000-0005-0000-0000-0000F0070000}"/>
    <cellStyle name="Comma 3 5" xfId="2180" xr:uid="{00000000-0005-0000-0000-0000F1070000}"/>
    <cellStyle name="Comma 3 6" xfId="2181" xr:uid="{00000000-0005-0000-0000-0000F2070000}"/>
    <cellStyle name="Comma 3 7" xfId="2182" xr:uid="{00000000-0005-0000-0000-0000F3070000}"/>
    <cellStyle name="Comma 3 8" xfId="2183" xr:uid="{00000000-0005-0000-0000-0000F4070000}"/>
    <cellStyle name="Comma 3 9" xfId="2184" xr:uid="{00000000-0005-0000-0000-0000F5070000}"/>
    <cellStyle name="Comma 4" xfId="88" xr:uid="{00000000-0005-0000-0000-0000F6070000}"/>
    <cellStyle name="Comma 4 10" xfId="2185" xr:uid="{00000000-0005-0000-0000-0000F7070000}"/>
    <cellStyle name="Comma 4 11" xfId="2186" xr:uid="{00000000-0005-0000-0000-0000F8070000}"/>
    <cellStyle name="Comma 4 12" xfId="2187" xr:uid="{00000000-0005-0000-0000-0000F9070000}"/>
    <cellStyle name="Comma 4 13" xfId="2188" xr:uid="{00000000-0005-0000-0000-0000FA070000}"/>
    <cellStyle name="Comma 4 14" xfId="2189" xr:uid="{00000000-0005-0000-0000-0000FB070000}"/>
    <cellStyle name="Comma 4 15" xfId="2190" xr:uid="{00000000-0005-0000-0000-0000FC070000}"/>
    <cellStyle name="Comma 4 16" xfId="2191" xr:uid="{00000000-0005-0000-0000-0000FD070000}"/>
    <cellStyle name="Comma 4 17" xfId="2192" xr:uid="{00000000-0005-0000-0000-0000FE070000}"/>
    <cellStyle name="Comma 4 18" xfId="2193" xr:uid="{00000000-0005-0000-0000-0000FF070000}"/>
    <cellStyle name="Comma 4 19" xfId="2194" xr:uid="{00000000-0005-0000-0000-000000080000}"/>
    <cellStyle name="Comma 4 2" xfId="2195" xr:uid="{00000000-0005-0000-0000-000001080000}"/>
    <cellStyle name="Comma 4 2 10" xfId="2196" xr:uid="{00000000-0005-0000-0000-000002080000}"/>
    <cellStyle name="Comma 4 2 11" xfId="2197" xr:uid="{00000000-0005-0000-0000-000003080000}"/>
    <cellStyle name="Comma 4 2 12" xfId="2198" xr:uid="{00000000-0005-0000-0000-000004080000}"/>
    <cellStyle name="Comma 4 2 13" xfId="2199" xr:uid="{00000000-0005-0000-0000-000005080000}"/>
    <cellStyle name="Comma 4 2 14" xfId="2200" xr:uid="{00000000-0005-0000-0000-000006080000}"/>
    <cellStyle name="Comma 4 2 15" xfId="2201" xr:uid="{00000000-0005-0000-0000-000007080000}"/>
    <cellStyle name="Comma 4 2 16" xfId="2202" xr:uid="{00000000-0005-0000-0000-000008080000}"/>
    <cellStyle name="Comma 4 2 17" xfId="2203" xr:uid="{00000000-0005-0000-0000-000009080000}"/>
    <cellStyle name="Comma 4 2 18" xfId="2204" xr:uid="{00000000-0005-0000-0000-00000A080000}"/>
    <cellStyle name="Comma 4 2 19" xfId="2205" xr:uid="{00000000-0005-0000-0000-00000B080000}"/>
    <cellStyle name="Comma 4 2 2" xfId="2206" xr:uid="{00000000-0005-0000-0000-00000C080000}"/>
    <cellStyle name="Comma 4 2 20" xfId="2207" xr:uid="{00000000-0005-0000-0000-00000D080000}"/>
    <cellStyle name="Comma 4 2 21" xfId="2208" xr:uid="{00000000-0005-0000-0000-00000E080000}"/>
    <cellStyle name="Comma 4 2 22" xfId="2209" xr:uid="{00000000-0005-0000-0000-00000F080000}"/>
    <cellStyle name="Comma 4 2 23" xfId="2210" xr:uid="{00000000-0005-0000-0000-000010080000}"/>
    <cellStyle name="Comma 4 2 24" xfId="2211" xr:uid="{00000000-0005-0000-0000-000011080000}"/>
    <cellStyle name="Comma 4 2 25" xfId="2212" xr:uid="{00000000-0005-0000-0000-000012080000}"/>
    <cellStyle name="Comma 4 2 26" xfId="2213" xr:uid="{00000000-0005-0000-0000-000013080000}"/>
    <cellStyle name="Comma 4 2 27" xfId="2214" xr:uid="{00000000-0005-0000-0000-000014080000}"/>
    <cellStyle name="Comma 4 2 28" xfId="2215" xr:uid="{00000000-0005-0000-0000-000015080000}"/>
    <cellStyle name="Comma 4 2 29" xfId="2216" xr:uid="{00000000-0005-0000-0000-000016080000}"/>
    <cellStyle name="Comma 4 2 3" xfId="2217" xr:uid="{00000000-0005-0000-0000-000017080000}"/>
    <cellStyle name="Comma 4 2 30" xfId="2218" xr:uid="{00000000-0005-0000-0000-000018080000}"/>
    <cellStyle name="Comma 4 2 31" xfId="2219" xr:uid="{00000000-0005-0000-0000-000019080000}"/>
    <cellStyle name="Comma 4 2 32" xfId="2220" xr:uid="{00000000-0005-0000-0000-00001A080000}"/>
    <cellStyle name="Comma 4 2 33" xfId="2221" xr:uid="{00000000-0005-0000-0000-00001B080000}"/>
    <cellStyle name="Comma 4 2 34" xfId="2222" xr:uid="{00000000-0005-0000-0000-00001C080000}"/>
    <cellStyle name="Comma 4 2 35" xfId="2223" xr:uid="{00000000-0005-0000-0000-00001D080000}"/>
    <cellStyle name="Comma 4 2 36" xfId="2224" xr:uid="{00000000-0005-0000-0000-00001E080000}"/>
    <cellStyle name="Comma 4 2 37" xfId="2225" xr:uid="{00000000-0005-0000-0000-00001F080000}"/>
    <cellStyle name="Comma 4 2 38" xfId="2226" xr:uid="{00000000-0005-0000-0000-000020080000}"/>
    <cellStyle name="Comma 4 2 39" xfId="2227" xr:uid="{00000000-0005-0000-0000-000021080000}"/>
    <cellStyle name="Comma 4 2 4" xfId="2228" xr:uid="{00000000-0005-0000-0000-000022080000}"/>
    <cellStyle name="Comma 4 2 40" xfId="2229" xr:uid="{00000000-0005-0000-0000-000023080000}"/>
    <cellStyle name="Comma 4 2 41" xfId="2230" xr:uid="{00000000-0005-0000-0000-000024080000}"/>
    <cellStyle name="Comma 4 2 42" xfId="2231" xr:uid="{00000000-0005-0000-0000-000025080000}"/>
    <cellStyle name="Comma 4 2 43" xfId="2232" xr:uid="{00000000-0005-0000-0000-000026080000}"/>
    <cellStyle name="Comma 4 2 5" xfId="2233" xr:uid="{00000000-0005-0000-0000-000027080000}"/>
    <cellStyle name="Comma 4 2 6" xfId="2234" xr:uid="{00000000-0005-0000-0000-000028080000}"/>
    <cellStyle name="Comma 4 2 7" xfId="2235" xr:uid="{00000000-0005-0000-0000-000029080000}"/>
    <cellStyle name="Comma 4 2 8" xfId="2236" xr:uid="{00000000-0005-0000-0000-00002A080000}"/>
    <cellStyle name="Comma 4 2 9" xfId="2237" xr:uid="{00000000-0005-0000-0000-00002B080000}"/>
    <cellStyle name="Comma 4 20" xfId="2238" xr:uid="{00000000-0005-0000-0000-00002C080000}"/>
    <cellStyle name="Comma 4 21" xfId="2239" xr:uid="{00000000-0005-0000-0000-00002D080000}"/>
    <cellStyle name="Comma 4 22" xfId="2240" xr:uid="{00000000-0005-0000-0000-00002E080000}"/>
    <cellStyle name="Comma 4 23" xfId="2241" xr:uid="{00000000-0005-0000-0000-00002F080000}"/>
    <cellStyle name="Comma 4 3" xfId="2242" xr:uid="{00000000-0005-0000-0000-000030080000}"/>
    <cellStyle name="Comma 4 3 10" xfId="2243" xr:uid="{00000000-0005-0000-0000-000031080000}"/>
    <cellStyle name="Comma 4 3 11" xfId="2244" xr:uid="{00000000-0005-0000-0000-000032080000}"/>
    <cellStyle name="Comma 4 3 12" xfId="2245" xr:uid="{00000000-0005-0000-0000-000033080000}"/>
    <cellStyle name="Comma 4 3 13" xfId="2246" xr:uid="{00000000-0005-0000-0000-000034080000}"/>
    <cellStyle name="Comma 4 3 14" xfId="2247" xr:uid="{00000000-0005-0000-0000-000035080000}"/>
    <cellStyle name="Comma 4 3 15" xfId="2248" xr:uid="{00000000-0005-0000-0000-000036080000}"/>
    <cellStyle name="Comma 4 3 16" xfId="2249" xr:uid="{00000000-0005-0000-0000-000037080000}"/>
    <cellStyle name="Comma 4 3 17" xfId="2250" xr:uid="{00000000-0005-0000-0000-000038080000}"/>
    <cellStyle name="Comma 4 3 18" xfId="2251" xr:uid="{00000000-0005-0000-0000-000039080000}"/>
    <cellStyle name="Comma 4 3 19" xfId="2252" xr:uid="{00000000-0005-0000-0000-00003A080000}"/>
    <cellStyle name="Comma 4 3 2" xfId="2253" xr:uid="{00000000-0005-0000-0000-00003B080000}"/>
    <cellStyle name="Comma 4 3 20" xfId="2254" xr:uid="{00000000-0005-0000-0000-00003C080000}"/>
    <cellStyle name="Comma 4 3 21" xfId="2255" xr:uid="{00000000-0005-0000-0000-00003D080000}"/>
    <cellStyle name="Comma 4 3 22" xfId="2256" xr:uid="{00000000-0005-0000-0000-00003E080000}"/>
    <cellStyle name="Comma 4 3 23" xfId="2257" xr:uid="{00000000-0005-0000-0000-00003F080000}"/>
    <cellStyle name="Comma 4 3 24" xfId="2258" xr:uid="{00000000-0005-0000-0000-000040080000}"/>
    <cellStyle name="Comma 4 3 25" xfId="2259" xr:uid="{00000000-0005-0000-0000-000041080000}"/>
    <cellStyle name="Comma 4 3 26" xfId="2260" xr:uid="{00000000-0005-0000-0000-000042080000}"/>
    <cellStyle name="Comma 4 3 27" xfId="2261" xr:uid="{00000000-0005-0000-0000-000043080000}"/>
    <cellStyle name="Comma 4 3 28" xfId="2262" xr:uid="{00000000-0005-0000-0000-000044080000}"/>
    <cellStyle name="Comma 4 3 29" xfId="2263" xr:uid="{00000000-0005-0000-0000-000045080000}"/>
    <cellStyle name="Comma 4 3 3" xfId="2264" xr:uid="{00000000-0005-0000-0000-000046080000}"/>
    <cellStyle name="Comma 4 3 30" xfId="2265" xr:uid="{00000000-0005-0000-0000-000047080000}"/>
    <cellStyle name="Comma 4 3 31" xfId="2266" xr:uid="{00000000-0005-0000-0000-000048080000}"/>
    <cellStyle name="Comma 4 3 32" xfId="2267" xr:uid="{00000000-0005-0000-0000-000049080000}"/>
    <cellStyle name="Comma 4 3 33" xfId="2268" xr:uid="{00000000-0005-0000-0000-00004A080000}"/>
    <cellStyle name="Comma 4 3 34" xfId="2269" xr:uid="{00000000-0005-0000-0000-00004B080000}"/>
    <cellStyle name="Comma 4 3 35" xfId="2270" xr:uid="{00000000-0005-0000-0000-00004C080000}"/>
    <cellStyle name="Comma 4 3 36" xfId="2271" xr:uid="{00000000-0005-0000-0000-00004D080000}"/>
    <cellStyle name="Comma 4 3 37" xfId="2272" xr:uid="{00000000-0005-0000-0000-00004E080000}"/>
    <cellStyle name="Comma 4 3 38" xfId="2273" xr:uid="{00000000-0005-0000-0000-00004F080000}"/>
    <cellStyle name="Comma 4 3 39" xfId="2274" xr:uid="{00000000-0005-0000-0000-000050080000}"/>
    <cellStyle name="Comma 4 3 4" xfId="2275" xr:uid="{00000000-0005-0000-0000-000051080000}"/>
    <cellStyle name="Comma 4 3 40" xfId="2276" xr:uid="{00000000-0005-0000-0000-000052080000}"/>
    <cellStyle name="Comma 4 3 41" xfId="2277" xr:uid="{00000000-0005-0000-0000-000053080000}"/>
    <cellStyle name="Comma 4 3 42" xfId="2278" xr:uid="{00000000-0005-0000-0000-000054080000}"/>
    <cellStyle name="Comma 4 3 43" xfId="2279" xr:uid="{00000000-0005-0000-0000-000055080000}"/>
    <cellStyle name="Comma 4 3 5" xfId="2280" xr:uid="{00000000-0005-0000-0000-000056080000}"/>
    <cellStyle name="Comma 4 3 6" xfId="2281" xr:uid="{00000000-0005-0000-0000-000057080000}"/>
    <cellStyle name="Comma 4 3 7" xfId="2282" xr:uid="{00000000-0005-0000-0000-000058080000}"/>
    <cellStyle name="Comma 4 3 8" xfId="2283" xr:uid="{00000000-0005-0000-0000-000059080000}"/>
    <cellStyle name="Comma 4 3 9" xfId="2284" xr:uid="{00000000-0005-0000-0000-00005A080000}"/>
    <cellStyle name="Comma 4 4" xfId="2285" xr:uid="{00000000-0005-0000-0000-00005B080000}"/>
    <cellStyle name="Comma 4 5" xfId="2286" xr:uid="{00000000-0005-0000-0000-00005C080000}"/>
    <cellStyle name="Comma 4 6" xfId="2287" xr:uid="{00000000-0005-0000-0000-00005D080000}"/>
    <cellStyle name="Comma 4 7" xfId="2288" xr:uid="{00000000-0005-0000-0000-00005E080000}"/>
    <cellStyle name="Comma 4 8" xfId="2289" xr:uid="{00000000-0005-0000-0000-00005F080000}"/>
    <cellStyle name="Comma 4 9" xfId="2290" xr:uid="{00000000-0005-0000-0000-000060080000}"/>
    <cellStyle name="Comma 5" xfId="50" xr:uid="{00000000-0005-0000-0000-000061080000}"/>
    <cellStyle name="Comma 5 10" xfId="2291" xr:uid="{00000000-0005-0000-0000-000062080000}"/>
    <cellStyle name="Comma 5 11" xfId="2292" xr:uid="{00000000-0005-0000-0000-000063080000}"/>
    <cellStyle name="Comma 5 12" xfId="2293" xr:uid="{00000000-0005-0000-0000-000064080000}"/>
    <cellStyle name="Comma 5 13" xfId="2294" xr:uid="{00000000-0005-0000-0000-000065080000}"/>
    <cellStyle name="Comma 5 14" xfId="2295" xr:uid="{00000000-0005-0000-0000-000066080000}"/>
    <cellStyle name="Comma 5 15" xfId="2296" xr:uid="{00000000-0005-0000-0000-000067080000}"/>
    <cellStyle name="Comma 5 16" xfId="2297" xr:uid="{00000000-0005-0000-0000-000068080000}"/>
    <cellStyle name="Comma 5 17" xfId="2298" xr:uid="{00000000-0005-0000-0000-000069080000}"/>
    <cellStyle name="Comma 5 18" xfId="2299" xr:uid="{00000000-0005-0000-0000-00006A080000}"/>
    <cellStyle name="Comma 5 19" xfId="2300" xr:uid="{00000000-0005-0000-0000-00006B080000}"/>
    <cellStyle name="Comma 5 2" xfId="2301" xr:uid="{00000000-0005-0000-0000-00006C080000}"/>
    <cellStyle name="Comma 5 2 10" xfId="2302" xr:uid="{00000000-0005-0000-0000-00006D080000}"/>
    <cellStyle name="Comma 5 2 11" xfId="2303" xr:uid="{00000000-0005-0000-0000-00006E080000}"/>
    <cellStyle name="Comma 5 2 12" xfId="2304" xr:uid="{00000000-0005-0000-0000-00006F080000}"/>
    <cellStyle name="Comma 5 2 13" xfId="2305" xr:uid="{00000000-0005-0000-0000-000070080000}"/>
    <cellStyle name="Comma 5 2 14" xfId="2306" xr:uid="{00000000-0005-0000-0000-000071080000}"/>
    <cellStyle name="Comma 5 2 15" xfId="2307" xr:uid="{00000000-0005-0000-0000-000072080000}"/>
    <cellStyle name="Comma 5 2 16" xfId="2308" xr:uid="{00000000-0005-0000-0000-000073080000}"/>
    <cellStyle name="Comma 5 2 17" xfId="2309" xr:uid="{00000000-0005-0000-0000-000074080000}"/>
    <cellStyle name="Comma 5 2 18" xfId="2310" xr:uid="{00000000-0005-0000-0000-000075080000}"/>
    <cellStyle name="Comma 5 2 19" xfId="2311" xr:uid="{00000000-0005-0000-0000-000076080000}"/>
    <cellStyle name="Comma 5 2 2" xfId="2312" xr:uid="{00000000-0005-0000-0000-000077080000}"/>
    <cellStyle name="Comma 5 2 3" xfId="2313" xr:uid="{00000000-0005-0000-0000-000078080000}"/>
    <cellStyle name="Comma 5 2 4" xfId="2314" xr:uid="{00000000-0005-0000-0000-000079080000}"/>
    <cellStyle name="Comma 5 2 5" xfId="2315" xr:uid="{00000000-0005-0000-0000-00007A080000}"/>
    <cellStyle name="Comma 5 2 6" xfId="2316" xr:uid="{00000000-0005-0000-0000-00007B080000}"/>
    <cellStyle name="Comma 5 2 7" xfId="2317" xr:uid="{00000000-0005-0000-0000-00007C080000}"/>
    <cellStyle name="Comma 5 2 8" xfId="2318" xr:uid="{00000000-0005-0000-0000-00007D080000}"/>
    <cellStyle name="Comma 5 2 9" xfId="2319" xr:uid="{00000000-0005-0000-0000-00007E080000}"/>
    <cellStyle name="Comma 5 20" xfId="2320" xr:uid="{00000000-0005-0000-0000-00007F080000}"/>
    <cellStyle name="Comma 5 21" xfId="2321" xr:uid="{00000000-0005-0000-0000-000080080000}"/>
    <cellStyle name="Comma 5 22" xfId="2322" xr:uid="{00000000-0005-0000-0000-000081080000}"/>
    <cellStyle name="Comma 5 3" xfId="2323" xr:uid="{00000000-0005-0000-0000-000082080000}"/>
    <cellStyle name="Comma 5 4" xfId="2324" xr:uid="{00000000-0005-0000-0000-000083080000}"/>
    <cellStyle name="Comma 5 5" xfId="2325" xr:uid="{00000000-0005-0000-0000-000084080000}"/>
    <cellStyle name="Comma 5 6" xfId="2326" xr:uid="{00000000-0005-0000-0000-000085080000}"/>
    <cellStyle name="Comma 5 7" xfId="2327" xr:uid="{00000000-0005-0000-0000-000086080000}"/>
    <cellStyle name="Comma 5 8" xfId="2328" xr:uid="{00000000-0005-0000-0000-000087080000}"/>
    <cellStyle name="Comma 5 9" xfId="2329" xr:uid="{00000000-0005-0000-0000-000088080000}"/>
    <cellStyle name="Comma 6" xfId="2330" xr:uid="{00000000-0005-0000-0000-000089080000}"/>
    <cellStyle name="Comma 6 10" xfId="2331" xr:uid="{00000000-0005-0000-0000-00008A080000}"/>
    <cellStyle name="Comma 6 11" xfId="2332" xr:uid="{00000000-0005-0000-0000-00008B080000}"/>
    <cellStyle name="Comma 6 12" xfId="2333" xr:uid="{00000000-0005-0000-0000-00008C080000}"/>
    <cellStyle name="Comma 6 13" xfId="2334" xr:uid="{00000000-0005-0000-0000-00008D080000}"/>
    <cellStyle name="Comma 6 14" xfId="2335" xr:uid="{00000000-0005-0000-0000-00008E080000}"/>
    <cellStyle name="Comma 6 15" xfId="2336" xr:uid="{00000000-0005-0000-0000-00008F080000}"/>
    <cellStyle name="Comma 6 16" xfId="2337" xr:uid="{00000000-0005-0000-0000-000090080000}"/>
    <cellStyle name="Comma 6 17" xfId="2338" xr:uid="{00000000-0005-0000-0000-000091080000}"/>
    <cellStyle name="Comma 6 18" xfId="2339" xr:uid="{00000000-0005-0000-0000-000092080000}"/>
    <cellStyle name="Comma 6 19" xfId="2340" xr:uid="{00000000-0005-0000-0000-000093080000}"/>
    <cellStyle name="Comma 6 2" xfId="2341" xr:uid="{00000000-0005-0000-0000-000094080000}"/>
    <cellStyle name="Comma 6 2 10" xfId="2342" xr:uid="{00000000-0005-0000-0000-000095080000}"/>
    <cellStyle name="Comma 6 2 11" xfId="2343" xr:uid="{00000000-0005-0000-0000-000096080000}"/>
    <cellStyle name="Comma 6 2 12" xfId="2344" xr:uid="{00000000-0005-0000-0000-000097080000}"/>
    <cellStyle name="Comma 6 2 13" xfId="2345" xr:uid="{00000000-0005-0000-0000-000098080000}"/>
    <cellStyle name="Comma 6 2 14" xfId="2346" xr:uid="{00000000-0005-0000-0000-000099080000}"/>
    <cellStyle name="Comma 6 2 15" xfId="2347" xr:uid="{00000000-0005-0000-0000-00009A080000}"/>
    <cellStyle name="Comma 6 2 16" xfId="2348" xr:uid="{00000000-0005-0000-0000-00009B080000}"/>
    <cellStyle name="Comma 6 2 17" xfId="2349" xr:uid="{00000000-0005-0000-0000-00009C080000}"/>
    <cellStyle name="Comma 6 2 18" xfId="2350" xr:uid="{00000000-0005-0000-0000-00009D080000}"/>
    <cellStyle name="Comma 6 2 19" xfId="2351" xr:uid="{00000000-0005-0000-0000-00009E080000}"/>
    <cellStyle name="Comma 6 2 2" xfId="2352" xr:uid="{00000000-0005-0000-0000-00009F080000}"/>
    <cellStyle name="Comma 6 2 3" xfId="2353" xr:uid="{00000000-0005-0000-0000-0000A0080000}"/>
    <cellStyle name="Comma 6 2 4" xfId="2354" xr:uid="{00000000-0005-0000-0000-0000A1080000}"/>
    <cellStyle name="Comma 6 2 5" xfId="2355" xr:uid="{00000000-0005-0000-0000-0000A2080000}"/>
    <cellStyle name="Comma 6 2 6" xfId="2356" xr:uid="{00000000-0005-0000-0000-0000A3080000}"/>
    <cellStyle name="Comma 6 2 7" xfId="2357" xr:uid="{00000000-0005-0000-0000-0000A4080000}"/>
    <cellStyle name="Comma 6 2 8" xfId="2358" xr:uid="{00000000-0005-0000-0000-0000A5080000}"/>
    <cellStyle name="Comma 6 2 9" xfId="2359" xr:uid="{00000000-0005-0000-0000-0000A6080000}"/>
    <cellStyle name="Comma 6 20" xfId="2360" xr:uid="{00000000-0005-0000-0000-0000A7080000}"/>
    <cellStyle name="Comma 6 21" xfId="2361" xr:uid="{00000000-0005-0000-0000-0000A8080000}"/>
    <cellStyle name="Comma 6 22" xfId="2362" xr:uid="{00000000-0005-0000-0000-0000A9080000}"/>
    <cellStyle name="Comma 6 3" xfId="2363" xr:uid="{00000000-0005-0000-0000-0000AA080000}"/>
    <cellStyle name="Comma 6 4" xfId="2364" xr:uid="{00000000-0005-0000-0000-0000AB080000}"/>
    <cellStyle name="Comma 6 5" xfId="2365" xr:uid="{00000000-0005-0000-0000-0000AC080000}"/>
    <cellStyle name="Comma 6 6" xfId="2366" xr:uid="{00000000-0005-0000-0000-0000AD080000}"/>
    <cellStyle name="Comma 6 7" xfId="2367" xr:uid="{00000000-0005-0000-0000-0000AE080000}"/>
    <cellStyle name="Comma 6 8" xfId="2368" xr:uid="{00000000-0005-0000-0000-0000AF080000}"/>
    <cellStyle name="Comma 6 9" xfId="2369" xr:uid="{00000000-0005-0000-0000-0000B0080000}"/>
    <cellStyle name="Comma 7" xfId="2370" xr:uid="{00000000-0005-0000-0000-0000B1080000}"/>
    <cellStyle name="Comma 7 2" xfId="2371" xr:uid="{00000000-0005-0000-0000-0000B2080000}"/>
    <cellStyle name="Comma 7 3" xfId="2372" xr:uid="{00000000-0005-0000-0000-0000B3080000}"/>
    <cellStyle name="Comma 8" xfId="2373" xr:uid="{00000000-0005-0000-0000-0000B4080000}"/>
    <cellStyle name="Comma 8 2" xfId="2374" xr:uid="{00000000-0005-0000-0000-0000B5080000}"/>
    <cellStyle name="Comma 8 3" xfId="2375" xr:uid="{00000000-0005-0000-0000-0000B6080000}"/>
    <cellStyle name="Comma 9" xfId="2376" xr:uid="{00000000-0005-0000-0000-0000B7080000}"/>
    <cellStyle name="Comma 9 2" xfId="2377" xr:uid="{00000000-0005-0000-0000-0000B8080000}"/>
    <cellStyle name="Comma 9 3" xfId="2378" xr:uid="{00000000-0005-0000-0000-0000B9080000}"/>
    <cellStyle name="Comma0" xfId="140" xr:uid="{00000000-0005-0000-0000-0000BA080000}"/>
    <cellStyle name="Comment" xfId="2379" xr:uid="{00000000-0005-0000-0000-0000BB080000}"/>
    <cellStyle name="Comment 10" xfId="2380" xr:uid="{00000000-0005-0000-0000-0000BC080000}"/>
    <cellStyle name="Comment 11" xfId="2381" xr:uid="{00000000-0005-0000-0000-0000BD080000}"/>
    <cellStyle name="Comment 12" xfId="2382" xr:uid="{00000000-0005-0000-0000-0000BE080000}"/>
    <cellStyle name="Comment 13" xfId="2383" xr:uid="{00000000-0005-0000-0000-0000BF080000}"/>
    <cellStyle name="Comment 14" xfId="2384" xr:uid="{00000000-0005-0000-0000-0000C0080000}"/>
    <cellStyle name="Comment 15" xfId="2385" xr:uid="{00000000-0005-0000-0000-0000C1080000}"/>
    <cellStyle name="Comment 16" xfId="2386" xr:uid="{00000000-0005-0000-0000-0000C2080000}"/>
    <cellStyle name="Comment 17" xfId="2387" xr:uid="{00000000-0005-0000-0000-0000C3080000}"/>
    <cellStyle name="Comment 18" xfId="2388" xr:uid="{00000000-0005-0000-0000-0000C4080000}"/>
    <cellStyle name="Comment 19" xfId="2389" xr:uid="{00000000-0005-0000-0000-0000C5080000}"/>
    <cellStyle name="Comment 2" xfId="2390" xr:uid="{00000000-0005-0000-0000-0000C6080000}"/>
    <cellStyle name="Comment 20" xfId="2391" xr:uid="{00000000-0005-0000-0000-0000C7080000}"/>
    <cellStyle name="Comment 21" xfId="2392" xr:uid="{00000000-0005-0000-0000-0000C8080000}"/>
    <cellStyle name="Comment 22" xfId="2393" xr:uid="{00000000-0005-0000-0000-0000C9080000}"/>
    <cellStyle name="Comment 23" xfId="2394" xr:uid="{00000000-0005-0000-0000-0000CA080000}"/>
    <cellStyle name="Comment 24" xfId="2395" xr:uid="{00000000-0005-0000-0000-0000CB080000}"/>
    <cellStyle name="Comment 3" xfId="2396" xr:uid="{00000000-0005-0000-0000-0000CC080000}"/>
    <cellStyle name="Comment 4" xfId="2397" xr:uid="{00000000-0005-0000-0000-0000CD080000}"/>
    <cellStyle name="Comment 5" xfId="2398" xr:uid="{00000000-0005-0000-0000-0000CE080000}"/>
    <cellStyle name="Comment 6" xfId="2399" xr:uid="{00000000-0005-0000-0000-0000CF080000}"/>
    <cellStyle name="Comment 7" xfId="2400" xr:uid="{00000000-0005-0000-0000-0000D0080000}"/>
    <cellStyle name="Comment 8" xfId="2401" xr:uid="{00000000-0005-0000-0000-0000D1080000}"/>
    <cellStyle name="Comment 9" xfId="2402" xr:uid="{00000000-0005-0000-0000-0000D2080000}"/>
    <cellStyle name="Corner heading" xfId="141" xr:uid="{00000000-0005-0000-0000-0000D3080000}"/>
    <cellStyle name="Currency" xfId="4" builtinId="4"/>
    <cellStyle name="Currency [2]" xfId="2403" xr:uid="{00000000-0005-0000-0000-0000D5080000}"/>
    <cellStyle name="Currency [2] 10" xfId="2404" xr:uid="{00000000-0005-0000-0000-0000D6080000}"/>
    <cellStyle name="Currency [2] 11" xfId="2405" xr:uid="{00000000-0005-0000-0000-0000D7080000}"/>
    <cellStyle name="Currency [2] 12" xfId="2406" xr:uid="{00000000-0005-0000-0000-0000D8080000}"/>
    <cellStyle name="Currency [2] 13" xfId="2407" xr:uid="{00000000-0005-0000-0000-0000D9080000}"/>
    <cellStyle name="Currency [2] 14" xfId="2408" xr:uid="{00000000-0005-0000-0000-0000DA080000}"/>
    <cellStyle name="Currency [2] 15" xfId="2409" xr:uid="{00000000-0005-0000-0000-0000DB080000}"/>
    <cellStyle name="Currency [2] 16" xfId="2410" xr:uid="{00000000-0005-0000-0000-0000DC080000}"/>
    <cellStyle name="Currency [2] 17" xfId="2411" xr:uid="{00000000-0005-0000-0000-0000DD080000}"/>
    <cellStyle name="Currency [2] 18" xfId="2412" xr:uid="{00000000-0005-0000-0000-0000DE080000}"/>
    <cellStyle name="Currency [2] 19" xfId="2413" xr:uid="{00000000-0005-0000-0000-0000DF080000}"/>
    <cellStyle name="Currency [2] 2" xfId="2414" xr:uid="{00000000-0005-0000-0000-0000E0080000}"/>
    <cellStyle name="Currency [2] 2 10" xfId="2415" xr:uid="{00000000-0005-0000-0000-0000E1080000}"/>
    <cellStyle name="Currency [2] 2 11" xfId="2416" xr:uid="{00000000-0005-0000-0000-0000E2080000}"/>
    <cellStyle name="Currency [2] 2 12" xfId="2417" xr:uid="{00000000-0005-0000-0000-0000E3080000}"/>
    <cellStyle name="Currency [2] 2 13" xfId="2418" xr:uid="{00000000-0005-0000-0000-0000E4080000}"/>
    <cellStyle name="Currency [2] 2 14" xfId="2419" xr:uid="{00000000-0005-0000-0000-0000E5080000}"/>
    <cellStyle name="Currency [2] 2 15" xfId="2420" xr:uid="{00000000-0005-0000-0000-0000E6080000}"/>
    <cellStyle name="Currency [2] 2 16" xfId="2421" xr:uid="{00000000-0005-0000-0000-0000E7080000}"/>
    <cellStyle name="Currency [2] 2 17" xfId="2422" xr:uid="{00000000-0005-0000-0000-0000E8080000}"/>
    <cellStyle name="Currency [2] 2 2" xfId="2423" xr:uid="{00000000-0005-0000-0000-0000E9080000}"/>
    <cellStyle name="Currency [2] 2 2 10" xfId="2424" xr:uid="{00000000-0005-0000-0000-0000EA080000}"/>
    <cellStyle name="Currency [2] 2 2 11" xfId="2425" xr:uid="{00000000-0005-0000-0000-0000EB080000}"/>
    <cellStyle name="Currency [2] 2 2 12" xfId="2426" xr:uid="{00000000-0005-0000-0000-0000EC080000}"/>
    <cellStyle name="Currency [2] 2 2 13" xfId="2427" xr:uid="{00000000-0005-0000-0000-0000ED080000}"/>
    <cellStyle name="Currency [2] 2 2 14" xfId="2428" xr:uid="{00000000-0005-0000-0000-0000EE080000}"/>
    <cellStyle name="Currency [2] 2 2 2" xfId="2429" xr:uid="{00000000-0005-0000-0000-0000EF080000}"/>
    <cellStyle name="Currency [2] 2 2 3" xfId="2430" xr:uid="{00000000-0005-0000-0000-0000F0080000}"/>
    <cellStyle name="Currency [2] 2 2 4" xfId="2431" xr:uid="{00000000-0005-0000-0000-0000F1080000}"/>
    <cellStyle name="Currency [2] 2 2 5" xfId="2432" xr:uid="{00000000-0005-0000-0000-0000F2080000}"/>
    <cellStyle name="Currency [2] 2 2 6" xfId="2433" xr:uid="{00000000-0005-0000-0000-0000F3080000}"/>
    <cellStyle name="Currency [2] 2 2 7" xfId="2434" xr:uid="{00000000-0005-0000-0000-0000F4080000}"/>
    <cellStyle name="Currency [2] 2 2 8" xfId="2435" xr:uid="{00000000-0005-0000-0000-0000F5080000}"/>
    <cellStyle name="Currency [2] 2 2 9" xfId="2436" xr:uid="{00000000-0005-0000-0000-0000F6080000}"/>
    <cellStyle name="Currency [2] 2 3" xfId="2437" xr:uid="{00000000-0005-0000-0000-0000F7080000}"/>
    <cellStyle name="Currency [2] 2 3 2" xfId="2438" xr:uid="{00000000-0005-0000-0000-0000F8080000}"/>
    <cellStyle name="Currency [2] 2 3 3" xfId="2439" xr:uid="{00000000-0005-0000-0000-0000F9080000}"/>
    <cellStyle name="Currency [2] 2 4" xfId="2440" xr:uid="{00000000-0005-0000-0000-0000FA080000}"/>
    <cellStyle name="Currency [2] 2 5" xfId="2441" xr:uid="{00000000-0005-0000-0000-0000FB080000}"/>
    <cellStyle name="Currency [2] 2 6" xfId="2442" xr:uid="{00000000-0005-0000-0000-0000FC080000}"/>
    <cellStyle name="Currency [2] 2 7" xfId="2443" xr:uid="{00000000-0005-0000-0000-0000FD080000}"/>
    <cellStyle name="Currency [2] 2 8" xfId="2444" xr:uid="{00000000-0005-0000-0000-0000FE080000}"/>
    <cellStyle name="Currency [2] 2 9" xfId="2445" xr:uid="{00000000-0005-0000-0000-0000FF080000}"/>
    <cellStyle name="Currency [2] 20" xfId="2446" xr:uid="{00000000-0005-0000-0000-000000090000}"/>
    <cellStyle name="Currency [2] 21" xfId="2447" xr:uid="{00000000-0005-0000-0000-000001090000}"/>
    <cellStyle name="Currency [2] 3" xfId="2448" xr:uid="{00000000-0005-0000-0000-000002090000}"/>
    <cellStyle name="Currency [2] 3 10" xfId="2449" xr:uid="{00000000-0005-0000-0000-000003090000}"/>
    <cellStyle name="Currency [2] 3 11" xfId="2450" xr:uid="{00000000-0005-0000-0000-000004090000}"/>
    <cellStyle name="Currency [2] 3 12" xfId="2451" xr:uid="{00000000-0005-0000-0000-000005090000}"/>
    <cellStyle name="Currency [2] 3 13" xfId="2452" xr:uid="{00000000-0005-0000-0000-000006090000}"/>
    <cellStyle name="Currency [2] 3 14" xfId="2453" xr:uid="{00000000-0005-0000-0000-000007090000}"/>
    <cellStyle name="Currency [2] 3 15" xfId="2454" xr:uid="{00000000-0005-0000-0000-000008090000}"/>
    <cellStyle name="Currency [2] 3 16" xfId="2455" xr:uid="{00000000-0005-0000-0000-000009090000}"/>
    <cellStyle name="Currency [2] 3 17" xfId="2456" xr:uid="{00000000-0005-0000-0000-00000A090000}"/>
    <cellStyle name="Currency [2] 3 2" xfId="2457" xr:uid="{00000000-0005-0000-0000-00000B090000}"/>
    <cellStyle name="Currency [2] 3 2 10" xfId="2458" xr:uid="{00000000-0005-0000-0000-00000C090000}"/>
    <cellStyle name="Currency [2] 3 2 11" xfId="2459" xr:uid="{00000000-0005-0000-0000-00000D090000}"/>
    <cellStyle name="Currency [2] 3 2 12" xfId="2460" xr:uid="{00000000-0005-0000-0000-00000E090000}"/>
    <cellStyle name="Currency [2] 3 2 13" xfId="2461" xr:uid="{00000000-0005-0000-0000-00000F090000}"/>
    <cellStyle name="Currency [2] 3 2 14" xfId="2462" xr:uid="{00000000-0005-0000-0000-000010090000}"/>
    <cellStyle name="Currency [2] 3 2 2" xfId="2463" xr:uid="{00000000-0005-0000-0000-000011090000}"/>
    <cellStyle name="Currency [2] 3 2 3" xfId="2464" xr:uid="{00000000-0005-0000-0000-000012090000}"/>
    <cellStyle name="Currency [2] 3 2 4" xfId="2465" xr:uid="{00000000-0005-0000-0000-000013090000}"/>
    <cellStyle name="Currency [2] 3 2 5" xfId="2466" xr:uid="{00000000-0005-0000-0000-000014090000}"/>
    <cellStyle name="Currency [2] 3 2 6" xfId="2467" xr:uid="{00000000-0005-0000-0000-000015090000}"/>
    <cellStyle name="Currency [2] 3 2 7" xfId="2468" xr:uid="{00000000-0005-0000-0000-000016090000}"/>
    <cellStyle name="Currency [2] 3 2 8" xfId="2469" xr:uid="{00000000-0005-0000-0000-000017090000}"/>
    <cellStyle name="Currency [2] 3 2 9" xfId="2470" xr:uid="{00000000-0005-0000-0000-000018090000}"/>
    <cellStyle name="Currency [2] 3 3" xfId="2471" xr:uid="{00000000-0005-0000-0000-000019090000}"/>
    <cellStyle name="Currency [2] 3 3 2" xfId="2472" xr:uid="{00000000-0005-0000-0000-00001A090000}"/>
    <cellStyle name="Currency [2] 3 3 3" xfId="2473" xr:uid="{00000000-0005-0000-0000-00001B090000}"/>
    <cellStyle name="Currency [2] 3 4" xfId="2474" xr:uid="{00000000-0005-0000-0000-00001C090000}"/>
    <cellStyle name="Currency [2] 3 5" xfId="2475" xr:uid="{00000000-0005-0000-0000-00001D090000}"/>
    <cellStyle name="Currency [2] 3 6" xfId="2476" xr:uid="{00000000-0005-0000-0000-00001E090000}"/>
    <cellStyle name="Currency [2] 3 7" xfId="2477" xr:uid="{00000000-0005-0000-0000-00001F090000}"/>
    <cellStyle name="Currency [2] 3 8" xfId="2478" xr:uid="{00000000-0005-0000-0000-000020090000}"/>
    <cellStyle name="Currency [2] 3 9" xfId="2479" xr:uid="{00000000-0005-0000-0000-000021090000}"/>
    <cellStyle name="Currency [2] 4" xfId="2480" xr:uid="{00000000-0005-0000-0000-000022090000}"/>
    <cellStyle name="Currency [2] 4 10" xfId="2481" xr:uid="{00000000-0005-0000-0000-000023090000}"/>
    <cellStyle name="Currency [2] 4 11" xfId="2482" xr:uid="{00000000-0005-0000-0000-000024090000}"/>
    <cellStyle name="Currency [2] 4 12" xfId="2483" xr:uid="{00000000-0005-0000-0000-000025090000}"/>
    <cellStyle name="Currency [2] 4 13" xfId="2484" xr:uid="{00000000-0005-0000-0000-000026090000}"/>
    <cellStyle name="Currency [2] 4 14" xfId="2485" xr:uid="{00000000-0005-0000-0000-000027090000}"/>
    <cellStyle name="Currency [2] 4 15" xfId="2486" xr:uid="{00000000-0005-0000-0000-000028090000}"/>
    <cellStyle name="Currency [2] 4 16" xfId="2487" xr:uid="{00000000-0005-0000-0000-000029090000}"/>
    <cellStyle name="Currency [2] 4 17" xfId="2488" xr:uid="{00000000-0005-0000-0000-00002A090000}"/>
    <cellStyle name="Currency [2] 4 2" xfId="2489" xr:uid="{00000000-0005-0000-0000-00002B090000}"/>
    <cellStyle name="Currency [2] 4 2 10" xfId="2490" xr:uid="{00000000-0005-0000-0000-00002C090000}"/>
    <cellStyle name="Currency [2] 4 2 11" xfId="2491" xr:uid="{00000000-0005-0000-0000-00002D090000}"/>
    <cellStyle name="Currency [2] 4 2 12" xfId="2492" xr:uid="{00000000-0005-0000-0000-00002E090000}"/>
    <cellStyle name="Currency [2] 4 2 13" xfId="2493" xr:uid="{00000000-0005-0000-0000-00002F090000}"/>
    <cellStyle name="Currency [2] 4 2 14" xfId="2494" xr:uid="{00000000-0005-0000-0000-000030090000}"/>
    <cellStyle name="Currency [2] 4 2 2" xfId="2495" xr:uid="{00000000-0005-0000-0000-000031090000}"/>
    <cellStyle name="Currency [2] 4 2 3" xfId="2496" xr:uid="{00000000-0005-0000-0000-000032090000}"/>
    <cellStyle name="Currency [2] 4 2 4" xfId="2497" xr:uid="{00000000-0005-0000-0000-000033090000}"/>
    <cellStyle name="Currency [2] 4 2 5" xfId="2498" xr:uid="{00000000-0005-0000-0000-000034090000}"/>
    <cellStyle name="Currency [2] 4 2 6" xfId="2499" xr:uid="{00000000-0005-0000-0000-000035090000}"/>
    <cellStyle name="Currency [2] 4 2 7" xfId="2500" xr:uid="{00000000-0005-0000-0000-000036090000}"/>
    <cellStyle name="Currency [2] 4 2 8" xfId="2501" xr:uid="{00000000-0005-0000-0000-000037090000}"/>
    <cellStyle name="Currency [2] 4 2 9" xfId="2502" xr:uid="{00000000-0005-0000-0000-000038090000}"/>
    <cellStyle name="Currency [2] 4 3" xfId="2503" xr:uid="{00000000-0005-0000-0000-000039090000}"/>
    <cellStyle name="Currency [2] 4 3 2" xfId="2504" xr:uid="{00000000-0005-0000-0000-00003A090000}"/>
    <cellStyle name="Currency [2] 4 3 3" xfId="2505" xr:uid="{00000000-0005-0000-0000-00003B090000}"/>
    <cellStyle name="Currency [2] 4 4" xfId="2506" xr:uid="{00000000-0005-0000-0000-00003C090000}"/>
    <cellStyle name="Currency [2] 4 5" xfId="2507" xr:uid="{00000000-0005-0000-0000-00003D090000}"/>
    <cellStyle name="Currency [2] 4 6" xfId="2508" xr:uid="{00000000-0005-0000-0000-00003E090000}"/>
    <cellStyle name="Currency [2] 4 7" xfId="2509" xr:uid="{00000000-0005-0000-0000-00003F090000}"/>
    <cellStyle name="Currency [2] 4 8" xfId="2510" xr:uid="{00000000-0005-0000-0000-000040090000}"/>
    <cellStyle name="Currency [2] 4 9" xfId="2511" xr:uid="{00000000-0005-0000-0000-000041090000}"/>
    <cellStyle name="Currency [2] 5" xfId="2512" xr:uid="{00000000-0005-0000-0000-000042090000}"/>
    <cellStyle name="Currency [2] 5 10" xfId="2513" xr:uid="{00000000-0005-0000-0000-000043090000}"/>
    <cellStyle name="Currency [2] 5 11" xfId="2514" xr:uid="{00000000-0005-0000-0000-000044090000}"/>
    <cellStyle name="Currency [2] 5 12" xfId="2515" xr:uid="{00000000-0005-0000-0000-000045090000}"/>
    <cellStyle name="Currency [2] 5 13" xfId="2516" xr:uid="{00000000-0005-0000-0000-000046090000}"/>
    <cellStyle name="Currency [2] 5 14" xfId="2517" xr:uid="{00000000-0005-0000-0000-000047090000}"/>
    <cellStyle name="Currency [2] 5 15" xfId="2518" xr:uid="{00000000-0005-0000-0000-000048090000}"/>
    <cellStyle name="Currency [2] 5 16" xfId="2519" xr:uid="{00000000-0005-0000-0000-000049090000}"/>
    <cellStyle name="Currency [2] 5 17" xfId="2520" xr:uid="{00000000-0005-0000-0000-00004A090000}"/>
    <cellStyle name="Currency [2] 5 2" xfId="2521" xr:uid="{00000000-0005-0000-0000-00004B090000}"/>
    <cellStyle name="Currency [2] 5 2 2" xfId="2522" xr:uid="{00000000-0005-0000-0000-00004C090000}"/>
    <cellStyle name="Currency [2] 5 2 3" xfId="2523" xr:uid="{00000000-0005-0000-0000-00004D090000}"/>
    <cellStyle name="Currency [2] 5 3" xfId="2524" xr:uid="{00000000-0005-0000-0000-00004E090000}"/>
    <cellStyle name="Currency [2] 5 3 2" xfId="2525" xr:uid="{00000000-0005-0000-0000-00004F090000}"/>
    <cellStyle name="Currency [2] 5 3 3" xfId="2526" xr:uid="{00000000-0005-0000-0000-000050090000}"/>
    <cellStyle name="Currency [2] 5 4" xfId="2527" xr:uid="{00000000-0005-0000-0000-000051090000}"/>
    <cellStyle name="Currency [2] 5 5" xfId="2528" xr:uid="{00000000-0005-0000-0000-000052090000}"/>
    <cellStyle name="Currency [2] 5 6" xfId="2529" xr:uid="{00000000-0005-0000-0000-000053090000}"/>
    <cellStyle name="Currency [2] 5 7" xfId="2530" xr:uid="{00000000-0005-0000-0000-000054090000}"/>
    <cellStyle name="Currency [2] 5 8" xfId="2531" xr:uid="{00000000-0005-0000-0000-000055090000}"/>
    <cellStyle name="Currency [2] 5 9" xfId="2532" xr:uid="{00000000-0005-0000-0000-000056090000}"/>
    <cellStyle name="Currency [2] 6" xfId="2533" xr:uid="{00000000-0005-0000-0000-000057090000}"/>
    <cellStyle name="Currency [2] 6 10" xfId="2534" xr:uid="{00000000-0005-0000-0000-000058090000}"/>
    <cellStyle name="Currency [2] 6 11" xfId="2535" xr:uid="{00000000-0005-0000-0000-000059090000}"/>
    <cellStyle name="Currency [2] 6 12" xfId="2536" xr:uid="{00000000-0005-0000-0000-00005A090000}"/>
    <cellStyle name="Currency [2] 6 13" xfId="2537" xr:uid="{00000000-0005-0000-0000-00005B090000}"/>
    <cellStyle name="Currency [2] 6 14" xfId="2538" xr:uid="{00000000-0005-0000-0000-00005C090000}"/>
    <cellStyle name="Currency [2] 6 15" xfId="2539" xr:uid="{00000000-0005-0000-0000-00005D090000}"/>
    <cellStyle name="Currency [2] 6 16" xfId="2540" xr:uid="{00000000-0005-0000-0000-00005E090000}"/>
    <cellStyle name="Currency [2] 6 2" xfId="2541" xr:uid="{00000000-0005-0000-0000-00005F090000}"/>
    <cellStyle name="Currency [2] 6 2 2" xfId="2542" xr:uid="{00000000-0005-0000-0000-000060090000}"/>
    <cellStyle name="Currency [2] 6 2 3" xfId="2543" xr:uid="{00000000-0005-0000-0000-000061090000}"/>
    <cellStyle name="Currency [2] 6 3" xfId="2544" xr:uid="{00000000-0005-0000-0000-000062090000}"/>
    <cellStyle name="Currency [2] 6 3 2" xfId="2545" xr:uid="{00000000-0005-0000-0000-000063090000}"/>
    <cellStyle name="Currency [2] 6 3 3" xfId="2546" xr:uid="{00000000-0005-0000-0000-000064090000}"/>
    <cellStyle name="Currency [2] 6 4" xfId="2547" xr:uid="{00000000-0005-0000-0000-000065090000}"/>
    <cellStyle name="Currency [2] 6 5" xfId="2548" xr:uid="{00000000-0005-0000-0000-000066090000}"/>
    <cellStyle name="Currency [2] 6 6" xfId="2549" xr:uid="{00000000-0005-0000-0000-000067090000}"/>
    <cellStyle name="Currency [2] 6 7" xfId="2550" xr:uid="{00000000-0005-0000-0000-000068090000}"/>
    <cellStyle name="Currency [2] 6 8" xfId="2551" xr:uid="{00000000-0005-0000-0000-000069090000}"/>
    <cellStyle name="Currency [2] 6 9" xfId="2552" xr:uid="{00000000-0005-0000-0000-00006A090000}"/>
    <cellStyle name="Currency [2] 7" xfId="2553" xr:uid="{00000000-0005-0000-0000-00006B090000}"/>
    <cellStyle name="Currency [2] 7 2" xfId="2554" xr:uid="{00000000-0005-0000-0000-00006C090000}"/>
    <cellStyle name="Currency [2] 7 3" xfId="2555" xr:uid="{00000000-0005-0000-0000-00006D090000}"/>
    <cellStyle name="Currency [2] 8" xfId="2556" xr:uid="{00000000-0005-0000-0000-00006E090000}"/>
    <cellStyle name="Currency [2] 8 2" xfId="2557" xr:uid="{00000000-0005-0000-0000-00006F090000}"/>
    <cellStyle name="Currency [2] 8 3" xfId="2558" xr:uid="{00000000-0005-0000-0000-000070090000}"/>
    <cellStyle name="Currency [2] 9" xfId="2559" xr:uid="{00000000-0005-0000-0000-000071090000}"/>
    <cellStyle name="Currency 0" xfId="2560" xr:uid="{00000000-0005-0000-0000-000072090000}"/>
    <cellStyle name="Currency 10" xfId="2561" xr:uid="{00000000-0005-0000-0000-000073090000}"/>
    <cellStyle name="Currency 10 2" xfId="2562" xr:uid="{00000000-0005-0000-0000-000074090000}"/>
    <cellStyle name="Currency 11" xfId="2563" xr:uid="{00000000-0005-0000-0000-000075090000}"/>
    <cellStyle name="Currency 12" xfId="2564" xr:uid="{00000000-0005-0000-0000-000076090000}"/>
    <cellStyle name="Currency 13" xfId="2565" xr:uid="{00000000-0005-0000-0000-000077090000}"/>
    <cellStyle name="Currency 14" xfId="2566" xr:uid="{00000000-0005-0000-0000-000078090000}"/>
    <cellStyle name="Currency 15" xfId="2567" xr:uid="{00000000-0005-0000-0000-000079090000}"/>
    <cellStyle name="Currency 16" xfId="2568" xr:uid="{00000000-0005-0000-0000-00007A090000}"/>
    <cellStyle name="Currency 17" xfId="2569" xr:uid="{00000000-0005-0000-0000-00007B090000}"/>
    <cellStyle name="Currency 18" xfId="2570" xr:uid="{00000000-0005-0000-0000-00007C090000}"/>
    <cellStyle name="Currency 2" xfId="51" xr:uid="{00000000-0005-0000-0000-00007D090000}"/>
    <cellStyle name="Currency 2 10" xfId="2571" xr:uid="{00000000-0005-0000-0000-00007E090000}"/>
    <cellStyle name="Currency 2 10 2" xfId="2572" xr:uid="{00000000-0005-0000-0000-00007F090000}"/>
    <cellStyle name="Currency 2 10 2 2" xfId="2573" xr:uid="{00000000-0005-0000-0000-000080090000}"/>
    <cellStyle name="Currency 2 10 2 3" xfId="2574" xr:uid="{00000000-0005-0000-0000-000081090000}"/>
    <cellStyle name="Currency 2 10 3" xfId="2575" xr:uid="{00000000-0005-0000-0000-000082090000}"/>
    <cellStyle name="Currency 2 11" xfId="2576" xr:uid="{00000000-0005-0000-0000-000083090000}"/>
    <cellStyle name="Currency 2 12" xfId="2577" xr:uid="{00000000-0005-0000-0000-000084090000}"/>
    <cellStyle name="Currency 2 13" xfId="2578" xr:uid="{00000000-0005-0000-0000-000085090000}"/>
    <cellStyle name="Currency 2 14" xfId="2579" xr:uid="{00000000-0005-0000-0000-000086090000}"/>
    <cellStyle name="Currency 2 15" xfId="2580" xr:uid="{00000000-0005-0000-0000-000087090000}"/>
    <cellStyle name="Currency 2 16" xfId="2581" xr:uid="{00000000-0005-0000-0000-000088090000}"/>
    <cellStyle name="Currency 2 17" xfId="2582" xr:uid="{00000000-0005-0000-0000-000089090000}"/>
    <cellStyle name="Currency 2 18" xfId="2583" xr:uid="{00000000-0005-0000-0000-00008A090000}"/>
    <cellStyle name="Currency 2 19" xfId="2584" xr:uid="{00000000-0005-0000-0000-00008B090000}"/>
    <cellStyle name="Currency 2 2" xfId="2585" xr:uid="{00000000-0005-0000-0000-00008C090000}"/>
    <cellStyle name="Currency 2 2 10" xfId="2586" xr:uid="{00000000-0005-0000-0000-00008D090000}"/>
    <cellStyle name="Currency 2 2 11" xfId="2587" xr:uid="{00000000-0005-0000-0000-00008E090000}"/>
    <cellStyle name="Currency 2 2 12" xfId="2588" xr:uid="{00000000-0005-0000-0000-00008F090000}"/>
    <cellStyle name="Currency 2 2 13" xfId="2589" xr:uid="{00000000-0005-0000-0000-000090090000}"/>
    <cellStyle name="Currency 2 2 14" xfId="2590" xr:uid="{00000000-0005-0000-0000-000091090000}"/>
    <cellStyle name="Currency 2 2 15" xfId="2591" xr:uid="{00000000-0005-0000-0000-000092090000}"/>
    <cellStyle name="Currency 2 2 16" xfId="2592" xr:uid="{00000000-0005-0000-0000-000093090000}"/>
    <cellStyle name="Currency 2 2 17" xfId="2593" xr:uid="{00000000-0005-0000-0000-000094090000}"/>
    <cellStyle name="Currency 2 2 18" xfId="2594" xr:uid="{00000000-0005-0000-0000-000095090000}"/>
    <cellStyle name="Currency 2 2 19" xfId="2595" xr:uid="{00000000-0005-0000-0000-000096090000}"/>
    <cellStyle name="Currency 2 2 2" xfId="2596" xr:uid="{00000000-0005-0000-0000-000097090000}"/>
    <cellStyle name="Currency 2 2 2 2" xfId="2597" xr:uid="{00000000-0005-0000-0000-000098090000}"/>
    <cellStyle name="Currency 2 2 2 2 2" xfId="2598" xr:uid="{00000000-0005-0000-0000-000099090000}"/>
    <cellStyle name="Currency 2 2 2 2 3" xfId="2599" xr:uid="{00000000-0005-0000-0000-00009A090000}"/>
    <cellStyle name="Currency 2 2 2 3" xfId="2600" xr:uid="{00000000-0005-0000-0000-00009B090000}"/>
    <cellStyle name="Currency 2 2 2 4" xfId="2601" xr:uid="{00000000-0005-0000-0000-00009C090000}"/>
    <cellStyle name="Currency 2 2 2 5" xfId="2602" xr:uid="{00000000-0005-0000-0000-00009D090000}"/>
    <cellStyle name="Currency 2 2 20" xfId="2603" xr:uid="{00000000-0005-0000-0000-00009E090000}"/>
    <cellStyle name="Currency 2 2 3" xfId="2604" xr:uid="{00000000-0005-0000-0000-00009F090000}"/>
    <cellStyle name="Currency 2 2 4" xfId="2605" xr:uid="{00000000-0005-0000-0000-0000A0090000}"/>
    <cellStyle name="Currency 2 2 4 2" xfId="2606" xr:uid="{00000000-0005-0000-0000-0000A1090000}"/>
    <cellStyle name="Currency 2 2 4 2 2" xfId="2607" xr:uid="{00000000-0005-0000-0000-0000A2090000}"/>
    <cellStyle name="Currency 2 2 4 2 3" xfId="2608" xr:uid="{00000000-0005-0000-0000-0000A3090000}"/>
    <cellStyle name="Currency 2 2 4 3" xfId="2609" xr:uid="{00000000-0005-0000-0000-0000A4090000}"/>
    <cellStyle name="Currency 2 2 5" xfId="2610" xr:uid="{00000000-0005-0000-0000-0000A5090000}"/>
    <cellStyle name="Currency 2 2 6" xfId="2611" xr:uid="{00000000-0005-0000-0000-0000A6090000}"/>
    <cellStyle name="Currency 2 2 7" xfId="2612" xr:uid="{00000000-0005-0000-0000-0000A7090000}"/>
    <cellStyle name="Currency 2 2 8" xfId="2613" xr:uid="{00000000-0005-0000-0000-0000A8090000}"/>
    <cellStyle name="Currency 2 2 9" xfId="2614" xr:uid="{00000000-0005-0000-0000-0000A9090000}"/>
    <cellStyle name="Currency 2 20" xfId="2615" xr:uid="{00000000-0005-0000-0000-0000AA090000}"/>
    <cellStyle name="Currency 2 21" xfId="2616" xr:uid="{00000000-0005-0000-0000-0000AB090000}"/>
    <cellStyle name="Currency 2 22" xfId="2617" xr:uid="{00000000-0005-0000-0000-0000AC090000}"/>
    <cellStyle name="Currency 2 23" xfId="2618" xr:uid="{00000000-0005-0000-0000-0000AD090000}"/>
    <cellStyle name="Currency 2 24" xfId="2619" xr:uid="{00000000-0005-0000-0000-0000AE090000}"/>
    <cellStyle name="Currency 2 25" xfId="2620" xr:uid="{00000000-0005-0000-0000-0000AF090000}"/>
    <cellStyle name="Currency 2 26" xfId="2621" xr:uid="{00000000-0005-0000-0000-0000B0090000}"/>
    <cellStyle name="Currency 2 27" xfId="2622" xr:uid="{00000000-0005-0000-0000-0000B1090000}"/>
    <cellStyle name="Currency 2 28" xfId="2623" xr:uid="{00000000-0005-0000-0000-0000B2090000}"/>
    <cellStyle name="Currency 2 29" xfId="2624" xr:uid="{00000000-0005-0000-0000-0000B3090000}"/>
    <cellStyle name="Currency 2 3" xfId="2625" xr:uid="{00000000-0005-0000-0000-0000B4090000}"/>
    <cellStyle name="Currency 2 3 10" xfId="2626" xr:uid="{00000000-0005-0000-0000-0000B5090000}"/>
    <cellStyle name="Currency 2 3 11" xfId="2627" xr:uid="{00000000-0005-0000-0000-0000B6090000}"/>
    <cellStyle name="Currency 2 3 12" xfId="2628" xr:uid="{00000000-0005-0000-0000-0000B7090000}"/>
    <cellStyle name="Currency 2 3 13" xfId="2629" xr:uid="{00000000-0005-0000-0000-0000B8090000}"/>
    <cellStyle name="Currency 2 3 14" xfId="2630" xr:uid="{00000000-0005-0000-0000-0000B9090000}"/>
    <cellStyle name="Currency 2 3 15" xfId="2631" xr:uid="{00000000-0005-0000-0000-0000BA090000}"/>
    <cellStyle name="Currency 2 3 16" xfId="2632" xr:uid="{00000000-0005-0000-0000-0000BB090000}"/>
    <cellStyle name="Currency 2 3 17" xfId="2633" xr:uid="{00000000-0005-0000-0000-0000BC090000}"/>
    <cellStyle name="Currency 2 3 18" xfId="2634" xr:uid="{00000000-0005-0000-0000-0000BD090000}"/>
    <cellStyle name="Currency 2 3 19" xfId="2635" xr:uid="{00000000-0005-0000-0000-0000BE090000}"/>
    <cellStyle name="Currency 2 3 2" xfId="2636" xr:uid="{00000000-0005-0000-0000-0000BF090000}"/>
    <cellStyle name="Currency 2 3 20" xfId="2637" xr:uid="{00000000-0005-0000-0000-0000C0090000}"/>
    <cellStyle name="Currency 2 3 3" xfId="2638" xr:uid="{00000000-0005-0000-0000-0000C1090000}"/>
    <cellStyle name="Currency 2 3 4" xfId="2639" xr:uid="{00000000-0005-0000-0000-0000C2090000}"/>
    <cellStyle name="Currency 2 3 5" xfId="2640" xr:uid="{00000000-0005-0000-0000-0000C3090000}"/>
    <cellStyle name="Currency 2 3 6" xfId="2641" xr:uid="{00000000-0005-0000-0000-0000C4090000}"/>
    <cellStyle name="Currency 2 3 7" xfId="2642" xr:uid="{00000000-0005-0000-0000-0000C5090000}"/>
    <cellStyle name="Currency 2 3 8" xfId="2643" xr:uid="{00000000-0005-0000-0000-0000C6090000}"/>
    <cellStyle name="Currency 2 3 9" xfId="2644" xr:uid="{00000000-0005-0000-0000-0000C7090000}"/>
    <cellStyle name="Currency 2 30" xfId="2645" xr:uid="{00000000-0005-0000-0000-0000C8090000}"/>
    <cellStyle name="Currency 2 31" xfId="2646" xr:uid="{00000000-0005-0000-0000-0000C9090000}"/>
    <cellStyle name="Currency 2 32" xfId="2647" xr:uid="{00000000-0005-0000-0000-0000CA090000}"/>
    <cellStyle name="Currency 2 33" xfId="2648" xr:uid="{00000000-0005-0000-0000-0000CB090000}"/>
    <cellStyle name="Currency 2 34" xfId="2649" xr:uid="{00000000-0005-0000-0000-0000CC090000}"/>
    <cellStyle name="Currency 2 35" xfId="2650" xr:uid="{00000000-0005-0000-0000-0000CD090000}"/>
    <cellStyle name="Currency 2 36" xfId="2651" xr:uid="{00000000-0005-0000-0000-0000CE090000}"/>
    <cellStyle name="Currency 2 37" xfId="2652" xr:uid="{00000000-0005-0000-0000-0000CF090000}"/>
    <cellStyle name="Currency 2 38" xfId="2653" xr:uid="{00000000-0005-0000-0000-0000D0090000}"/>
    <cellStyle name="Currency 2 39" xfId="2654" xr:uid="{00000000-0005-0000-0000-0000D1090000}"/>
    <cellStyle name="Currency 2 4" xfId="2655" xr:uid="{00000000-0005-0000-0000-0000D2090000}"/>
    <cellStyle name="Currency 2 4 10" xfId="2656" xr:uid="{00000000-0005-0000-0000-0000D3090000}"/>
    <cellStyle name="Currency 2 4 11" xfId="2657" xr:uid="{00000000-0005-0000-0000-0000D4090000}"/>
    <cellStyle name="Currency 2 4 12" xfId="2658" xr:uid="{00000000-0005-0000-0000-0000D5090000}"/>
    <cellStyle name="Currency 2 4 13" xfId="2659" xr:uid="{00000000-0005-0000-0000-0000D6090000}"/>
    <cellStyle name="Currency 2 4 14" xfId="2660" xr:uid="{00000000-0005-0000-0000-0000D7090000}"/>
    <cellStyle name="Currency 2 4 15" xfId="2661" xr:uid="{00000000-0005-0000-0000-0000D8090000}"/>
    <cellStyle name="Currency 2 4 16" xfId="2662" xr:uid="{00000000-0005-0000-0000-0000D9090000}"/>
    <cellStyle name="Currency 2 4 17" xfId="2663" xr:uid="{00000000-0005-0000-0000-0000DA090000}"/>
    <cellStyle name="Currency 2 4 18" xfId="2664" xr:uid="{00000000-0005-0000-0000-0000DB090000}"/>
    <cellStyle name="Currency 2 4 19" xfId="2665" xr:uid="{00000000-0005-0000-0000-0000DC090000}"/>
    <cellStyle name="Currency 2 4 2" xfId="2666" xr:uid="{00000000-0005-0000-0000-0000DD090000}"/>
    <cellStyle name="Currency 2 4 20" xfId="2667" xr:uid="{00000000-0005-0000-0000-0000DE090000}"/>
    <cellStyle name="Currency 2 4 3" xfId="2668" xr:uid="{00000000-0005-0000-0000-0000DF090000}"/>
    <cellStyle name="Currency 2 4 4" xfId="2669" xr:uid="{00000000-0005-0000-0000-0000E0090000}"/>
    <cellStyle name="Currency 2 4 5" xfId="2670" xr:uid="{00000000-0005-0000-0000-0000E1090000}"/>
    <cellStyle name="Currency 2 4 6" xfId="2671" xr:uid="{00000000-0005-0000-0000-0000E2090000}"/>
    <cellStyle name="Currency 2 4 7" xfId="2672" xr:uid="{00000000-0005-0000-0000-0000E3090000}"/>
    <cellStyle name="Currency 2 4 8" xfId="2673" xr:uid="{00000000-0005-0000-0000-0000E4090000}"/>
    <cellStyle name="Currency 2 4 9" xfId="2674" xr:uid="{00000000-0005-0000-0000-0000E5090000}"/>
    <cellStyle name="Currency 2 40" xfId="2675" xr:uid="{00000000-0005-0000-0000-0000E6090000}"/>
    <cellStyle name="Currency 2 41" xfId="2676" xr:uid="{00000000-0005-0000-0000-0000E7090000}"/>
    <cellStyle name="Currency 2 42" xfId="2677" xr:uid="{00000000-0005-0000-0000-0000E8090000}"/>
    <cellStyle name="Currency 2 43" xfId="2678" xr:uid="{00000000-0005-0000-0000-0000E9090000}"/>
    <cellStyle name="Currency 2 44" xfId="2679" xr:uid="{00000000-0005-0000-0000-0000EA090000}"/>
    <cellStyle name="Currency 2 45" xfId="2680" xr:uid="{00000000-0005-0000-0000-0000EB090000}"/>
    <cellStyle name="Currency 2 46" xfId="2681" xr:uid="{00000000-0005-0000-0000-0000EC090000}"/>
    <cellStyle name="Currency 2 47" xfId="2682" xr:uid="{00000000-0005-0000-0000-0000ED090000}"/>
    <cellStyle name="Currency 2 48" xfId="2683" xr:uid="{00000000-0005-0000-0000-0000EE090000}"/>
    <cellStyle name="Currency 2 49" xfId="2684" xr:uid="{00000000-0005-0000-0000-0000EF090000}"/>
    <cellStyle name="Currency 2 5" xfId="2685" xr:uid="{00000000-0005-0000-0000-0000F0090000}"/>
    <cellStyle name="Currency 2 5 10" xfId="2686" xr:uid="{00000000-0005-0000-0000-0000F1090000}"/>
    <cellStyle name="Currency 2 5 11" xfId="2687" xr:uid="{00000000-0005-0000-0000-0000F2090000}"/>
    <cellStyle name="Currency 2 5 12" xfId="2688" xr:uid="{00000000-0005-0000-0000-0000F3090000}"/>
    <cellStyle name="Currency 2 5 13" xfId="2689" xr:uid="{00000000-0005-0000-0000-0000F4090000}"/>
    <cellStyle name="Currency 2 5 14" xfId="2690" xr:uid="{00000000-0005-0000-0000-0000F5090000}"/>
    <cellStyle name="Currency 2 5 15" xfId="2691" xr:uid="{00000000-0005-0000-0000-0000F6090000}"/>
    <cellStyle name="Currency 2 5 16" xfId="2692" xr:uid="{00000000-0005-0000-0000-0000F7090000}"/>
    <cellStyle name="Currency 2 5 17" xfId="2693" xr:uid="{00000000-0005-0000-0000-0000F8090000}"/>
    <cellStyle name="Currency 2 5 18" xfId="2694" xr:uid="{00000000-0005-0000-0000-0000F9090000}"/>
    <cellStyle name="Currency 2 5 19" xfId="2695" xr:uid="{00000000-0005-0000-0000-0000FA090000}"/>
    <cellStyle name="Currency 2 5 2" xfId="2696" xr:uid="{00000000-0005-0000-0000-0000FB090000}"/>
    <cellStyle name="Currency 2 5 3" xfId="2697" xr:uid="{00000000-0005-0000-0000-0000FC090000}"/>
    <cellStyle name="Currency 2 5 4" xfId="2698" xr:uid="{00000000-0005-0000-0000-0000FD090000}"/>
    <cellStyle name="Currency 2 5 5" xfId="2699" xr:uid="{00000000-0005-0000-0000-0000FE090000}"/>
    <cellStyle name="Currency 2 5 6" xfId="2700" xr:uid="{00000000-0005-0000-0000-0000FF090000}"/>
    <cellStyle name="Currency 2 5 7" xfId="2701" xr:uid="{00000000-0005-0000-0000-0000000A0000}"/>
    <cellStyle name="Currency 2 5 8" xfId="2702" xr:uid="{00000000-0005-0000-0000-0000010A0000}"/>
    <cellStyle name="Currency 2 5 9" xfId="2703" xr:uid="{00000000-0005-0000-0000-0000020A0000}"/>
    <cellStyle name="Currency 2 50" xfId="2704" xr:uid="{00000000-0005-0000-0000-0000030A0000}"/>
    <cellStyle name="Currency 2 51" xfId="2705" xr:uid="{00000000-0005-0000-0000-0000040A0000}"/>
    <cellStyle name="Currency 2 52" xfId="2706" xr:uid="{00000000-0005-0000-0000-0000050A0000}"/>
    <cellStyle name="Currency 2 53" xfId="2707" xr:uid="{00000000-0005-0000-0000-0000060A0000}"/>
    <cellStyle name="Currency 2 54" xfId="2708" xr:uid="{00000000-0005-0000-0000-0000070A0000}"/>
    <cellStyle name="Currency 2 55" xfId="2709" xr:uid="{00000000-0005-0000-0000-0000080A0000}"/>
    <cellStyle name="Currency 2 56" xfId="2710" xr:uid="{00000000-0005-0000-0000-0000090A0000}"/>
    <cellStyle name="Currency 2 57" xfId="2711" xr:uid="{00000000-0005-0000-0000-00000A0A0000}"/>
    <cellStyle name="Currency 2 58" xfId="2712" xr:uid="{00000000-0005-0000-0000-00000B0A0000}"/>
    <cellStyle name="Currency 2 59" xfId="2713" xr:uid="{00000000-0005-0000-0000-00000C0A0000}"/>
    <cellStyle name="Currency 2 6" xfId="2714" xr:uid="{00000000-0005-0000-0000-00000D0A0000}"/>
    <cellStyle name="Currency 2 6 2" xfId="2715" xr:uid="{00000000-0005-0000-0000-00000E0A0000}"/>
    <cellStyle name="Currency 2 6 2 2" xfId="2716" xr:uid="{00000000-0005-0000-0000-00000F0A0000}"/>
    <cellStyle name="Currency 2 6 2 3" xfId="2717" xr:uid="{00000000-0005-0000-0000-0000100A0000}"/>
    <cellStyle name="Currency 2 6 3" xfId="2718" xr:uid="{00000000-0005-0000-0000-0000110A0000}"/>
    <cellStyle name="Currency 2 60" xfId="2719" xr:uid="{00000000-0005-0000-0000-0000120A0000}"/>
    <cellStyle name="Currency 2 61" xfId="2720" xr:uid="{00000000-0005-0000-0000-0000130A0000}"/>
    <cellStyle name="Currency 2 62" xfId="2721" xr:uid="{00000000-0005-0000-0000-0000140A0000}"/>
    <cellStyle name="Currency 2 63" xfId="2722" xr:uid="{00000000-0005-0000-0000-0000150A0000}"/>
    <cellStyle name="Currency 2 64" xfId="2723" xr:uid="{00000000-0005-0000-0000-0000160A0000}"/>
    <cellStyle name="Currency 2 65" xfId="2724" xr:uid="{00000000-0005-0000-0000-0000170A0000}"/>
    <cellStyle name="Currency 2 66" xfId="2725" xr:uid="{00000000-0005-0000-0000-0000180A0000}"/>
    <cellStyle name="Currency 2 67" xfId="2726" xr:uid="{00000000-0005-0000-0000-0000190A0000}"/>
    <cellStyle name="Currency 2 68" xfId="2727" xr:uid="{00000000-0005-0000-0000-00001A0A0000}"/>
    <cellStyle name="Currency 2 69" xfId="2728" xr:uid="{00000000-0005-0000-0000-00001B0A0000}"/>
    <cellStyle name="Currency 2 7" xfId="2729" xr:uid="{00000000-0005-0000-0000-00001C0A0000}"/>
    <cellStyle name="Currency 2 70" xfId="2730" xr:uid="{00000000-0005-0000-0000-00001D0A0000}"/>
    <cellStyle name="Currency 2 71" xfId="2731" xr:uid="{00000000-0005-0000-0000-00001E0A0000}"/>
    <cellStyle name="Currency 2 72" xfId="2732" xr:uid="{00000000-0005-0000-0000-00001F0A0000}"/>
    <cellStyle name="Currency 2 73" xfId="2733" xr:uid="{00000000-0005-0000-0000-0000200A0000}"/>
    <cellStyle name="Currency 2 74" xfId="2734" xr:uid="{00000000-0005-0000-0000-0000210A0000}"/>
    <cellStyle name="Currency 2 75" xfId="2735" xr:uid="{00000000-0005-0000-0000-0000220A0000}"/>
    <cellStyle name="Currency 2 8" xfId="2736" xr:uid="{00000000-0005-0000-0000-0000230A0000}"/>
    <cellStyle name="Currency 2 9" xfId="2737" xr:uid="{00000000-0005-0000-0000-0000240A0000}"/>
    <cellStyle name="Currency 20" xfId="2738" xr:uid="{00000000-0005-0000-0000-0000250A0000}"/>
    <cellStyle name="Currency 3" xfId="2739" xr:uid="{00000000-0005-0000-0000-0000260A0000}"/>
    <cellStyle name="Currency 3 10" xfId="2740" xr:uid="{00000000-0005-0000-0000-0000270A0000}"/>
    <cellStyle name="Currency 3 10 10" xfId="2741" xr:uid="{00000000-0005-0000-0000-0000280A0000}"/>
    <cellStyle name="Currency 3 10 11" xfId="2742" xr:uid="{00000000-0005-0000-0000-0000290A0000}"/>
    <cellStyle name="Currency 3 10 12" xfId="2743" xr:uid="{00000000-0005-0000-0000-00002A0A0000}"/>
    <cellStyle name="Currency 3 10 13" xfId="2744" xr:uid="{00000000-0005-0000-0000-00002B0A0000}"/>
    <cellStyle name="Currency 3 10 14" xfId="2745" xr:uid="{00000000-0005-0000-0000-00002C0A0000}"/>
    <cellStyle name="Currency 3 10 15" xfId="2746" xr:uid="{00000000-0005-0000-0000-00002D0A0000}"/>
    <cellStyle name="Currency 3 10 16" xfId="2747" xr:uid="{00000000-0005-0000-0000-00002E0A0000}"/>
    <cellStyle name="Currency 3 10 17" xfId="2748" xr:uid="{00000000-0005-0000-0000-00002F0A0000}"/>
    <cellStyle name="Currency 3 10 18" xfId="2749" xr:uid="{00000000-0005-0000-0000-0000300A0000}"/>
    <cellStyle name="Currency 3 10 2" xfId="2750" xr:uid="{00000000-0005-0000-0000-0000310A0000}"/>
    <cellStyle name="Currency 3 10 3" xfId="2751" xr:uid="{00000000-0005-0000-0000-0000320A0000}"/>
    <cellStyle name="Currency 3 10 4" xfId="2752" xr:uid="{00000000-0005-0000-0000-0000330A0000}"/>
    <cellStyle name="Currency 3 10 5" xfId="2753" xr:uid="{00000000-0005-0000-0000-0000340A0000}"/>
    <cellStyle name="Currency 3 10 6" xfId="2754" xr:uid="{00000000-0005-0000-0000-0000350A0000}"/>
    <cellStyle name="Currency 3 10 7" xfId="2755" xr:uid="{00000000-0005-0000-0000-0000360A0000}"/>
    <cellStyle name="Currency 3 10 8" xfId="2756" xr:uid="{00000000-0005-0000-0000-0000370A0000}"/>
    <cellStyle name="Currency 3 10 9" xfId="2757" xr:uid="{00000000-0005-0000-0000-0000380A0000}"/>
    <cellStyle name="Currency 3 11" xfId="2758" xr:uid="{00000000-0005-0000-0000-0000390A0000}"/>
    <cellStyle name="Currency 3 11 10" xfId="2759" xr:uid="{00000000-0005-0000-0000-00003A0A0000}"/>
    <cellStyle name="Currency 3 11 11" xfId="2760" xr:uid="{00000000-0005-0000-0000-00003B0A0000}"/>
    <cellStyle name="Currency 3 11 12" xfId="2761" xr:uid="{00000000-0005-0000-0000-00003C0A0000}"/>
    <cellStyle name="Currency 3 11 13" xfId="2762" xr:uid="{00000000-0005-0000-0000-00003D0A0000}"/>
    <cellStyle name="Currency 3 11 14" xfId="2763" xr:uid="{00000000-0005-0000-0000-00003E0A0000}"/>
    <cellStyle name="Currency 3 11 15" xfId="2764" xr:uid="{00000000-0005-0000-0000-00003F0A0000}"/>
    <cellStyle name="Currency 3 11 16" xfId="2765" xr:uid="{00000000-0005-0000-0000-0000400A0000}"/>
    <cellStyle name="Currency 3 11 17" xfId="2766" xr:uid="{00000000-0005-0000-0000-0000410A0000}"/>
    <cellStyle name="Currency 3 11 18" xfId="2767" xr:uid="{00000000-0005-0000-0000-0000420A0000}"/>
    <cellStyle name="Currency 3 11 2" xfId="2768" xr:uid="{00000000-0005-0000-0000-0000430A0000}"/>
    <cellStyle name="Currency 3 11 3" xfId="2769" xr:uid="{00000000-0005-0000-0000-0000440A0000}"/>
    <cellStyle name="Currency 3 11 4" xfId="2770" xr:uid="{00000000-0005-0000-0000-0000450A0000}"/>
    <cellStyle name="Currency 3 11 5" xfId="2771" xr:uid="{00000000-0005-0000-0000-0000460A0000}"/>
    <cellStyle name="Currency 3 11 6" xfId="2772" xr:uid="{00000000-0005-0000-0000-0000470A0000}"/>
    <cellStyle name="Currency 3 11 7" xfId="2773" xr:uid="{00000000-0005-0000-0000-0000480A0000}"/>
    <cellStyle name="Currency 3 11 8" xfId="2774" xr:uid="{00000000-0005-0000-0000-0000490A0000}"/>
    <cellStyle name="Currency 3 11 9" xfId="2775" xr:uid="{00000000-0005-0000-0000-00004A0A0000}"/>
    <cellStyle name="Currency 3 12" xfId="2776" xr:uid="{00000000-0005-0000-0000-00004B0A0000}"/>
    <cellStyle name="Currency 3 12 10" xfId="2777" xr:uid="{00000000-0005-0000-0000-00004C0A0000}"/>
    <cellStyle name="Currency 3 12 11" xfId="2778" xr:uid="{00000000-0005-0000-0000-00004D0A0000}"/>
    <cellStyle name="Currency 3 12 12" xfId="2779" xr:uid="{00000000-0005-0000-0000-00004E0A0000}"/>
    <cellStyle name="Currency 3 12 13" xfId="2780" xr:uid="{00000000-0005-0000-0000-00004F0A0000}"/>
    <cellStyle name="Currency 3 12 14" xfId="2781" xr:uid="{00000000-0005-0000-0000-0000500A0000}"/>
    <cellStyle name="Currency 3 12 15" xfId="2782" xr:uid="{00000000-0005-0000-0000-0000510A0000}"/>
    <cellStyle name="Currency 3 12 16" xfId="2783" xr:uid="{00000000-0005-0000-0000-0000520A0000}"/>
    <cellStyle name="Currency 3 12 17" xfId="2784" xr:uid="{00000000-0005-0000-0000-0000530A0000}"/>
    <cellStyle name="Currency 3 12 18" xfId="2785" xr:uid="{00000000-0005-0000-0000-0000540A0000}"/>
    <cellStyle name="Currency 3 12 2" xfId="2786" xr:uid="{00000000-0005-0000-0000-0000550A0000}"/>
    <cellStyle name="Currency 3 12 3" xfId="2787" xr:uid="{00000000-0005-0000-0000-0000560A0000}"/>
    <cellStyle name="Currency 3 12 4" xfId="2788" xr:uid="{00000000-0005-0000-0000-0000570A0000}"/>
    <cellStyle name="Currency 3 12 5" xfId="2789" xr:uid="{00000000-0005-0000-0000-0000580A0000}"/>
    <cellStyle name="Currency 3 12 6" xfId="2790" xr:uid="{00000000-0005-0000-0000-0000590A0000}"/>
    <cellStyle name="Currency 3 12 7" xfId="2791" xr:uid="{00000000-0005-0000-0000-00005A0A0000}"/>
    <cellStyle name="Currency 3 12 8" xfId="2792" xr:uid="{00000000-0005-0000-0000-00005B0A0000}"/>
    <cellStyle name="Currency 3 12 9" xfId="2793" xr:uid="{00000000-0005-0000-0000-00005C0A0000}"/>
    <cellStyle name="Currency 3 13" xfId="2794" xr:uid="{00000000-0005-0000-0000-00005D0A0000}"/>
    <cellStyle name="Currency 3 13 10" xfId="2795" xr:uid="{00000000-0005-0000-0000-00005E0A0000}"/>
    <cellStyle name="Currency 3 13 11" xfId="2796" xr:uid="{00000000-0005-0000-0000-00005F0A0000}"/>
    <cellStyle name="Currency 3 13 12" xfId="2797" xr:uid="{00000000-0005-0000-0000-0000600A0000}"/>
    <cellStyle name="Currency 3 13 13" xfId="2798" xr:uid="{00000000-0005-0000-0000-0000610A0000}"/>
    <cellStyle name="Currency 3 13 14" xfId="2799" xr:uid="{00000000-0005-0000-0000-0000620A0000}"/>
    <cellStyle name="Currency 3 13 15" xfId="2800" xr:uid="{00000000-0005-0000-0000-0000630A0000}"/>
    <cellStyle name="Currency 3 13 16" xfId="2801" xr:uid="{00000000-0005-0000-0000-0000640A0000}"/>
    <cellStyle name="Currency 3 13 17" xfId="2802" xr:uid="{00000000-0005-0000-0000-0000650A0000}"/>
    <cellStyle name="Currency 3 13 18" xfId="2803" xr:uid="{00000000-0005-0000-0000-0000660A0000}"/>
    <cellStyle name="Currency 3 13 2" xfId="2804" xr:uid="{00000000-0005-0000-0000-0000670A0000}"/>
    <cellStyle name="Currency 3 13 3" xfId="2805" xr:uid="{00000000-0005-0000-0000-0000680A0000}"/>
    <cellStyle name="Currency 3 13 4" xfId="2806" xr:uid="{00000000-0005-0000-0000-0000690A0000}"/>
    <cellStyle name="Currency 3 13 5" xfId="2807" xr:uid="{00000000-0005-0000-0000-00006A0A0000}"/>
    <cellStyle name="Currency 3 13 6" xfId="2808" xr:uid="{00000000-0005-0000-0000-00006B0A0000}"/>
    <cellStyle name="Currency 3 13 7" xfId="2809" xr:uid="{00000000-0005-0000-0000-00006C0A0000}"/>
    <cellStyle name="Currency 3 13 8" xfId="2810" xr:uid="{00000000-0005-0000-0000-00006D0A0000}"/>
    <cellStyle name="Currency 3 13 9" xfId="2811" xr:uid="{00000000-0005-0000-0000-00006E0A0000}"/>
    <cellStyle name="Currency 3 14" xfId="2812" xr:uid="{00000000-0005-0000-0000-00006F0A0000}"/>
    <cellStyle name="Currency 3 14 10" xfId="2813" xr:uid="{00000000-0005-0000-0000-0000700A0000}"/>
    <cellStyle name="Currency 3 14 11" xfId="2814" xr:uid="{00000000-0005-0000-0000-0000710A0000}"/>
    <cellStyle name="Currency 3 14 12" xfId="2815" xr:uid="{00000000-0005-0000-0000-0000720A0000}"/>
    <cellStyle name="Currency 3 14 13" xfId="2816" xr:uid="{00000000-0005-0000-0000-0000730A0000}"/>
    <cellStyle name="Currency 3 14 14" xfId="2817" xr:uid="{00000000-0005-0000-0000-0000740A0000}"/>
    <cellStyle name="Currency 3 14 15" xfId="2818" xr:uid="{00000000-0005-0000-0000-0000750A0000}"/>
    <cellStyle name="Currency 3 14 16" xfId="2819" xr:uid="{00000000-0005-0000-0000-0000760A0000}"/>
    <cellStyle name="Currency 3 14 17" xfId="2820" xr:uid="{00000000-0005-0000-0000-0000770A0000}"/>
    <cellStyle name="Currency 3 14 18" xfId="2821" xr:uid="{00000000-0005-0000-0000-0000780A0000}"/>
    <cellStyle name="Currency 3 14 2" xfId="2822" xr:uid="{00000000-0005-0000-0000-0000790A0000}"/>
    <cellStyle name="Currency 3 14 3" xfId="2823" xr:uid="{00000000-0005-0000-0000-00007A0A0000}"/>
    <cellStyle name="Currency 3 14 4" xfId="2824" xr:uid="{00000000-0005-0000-0000-00007B0A0000}"/>
    <cellStyle name="Currency 3 14 5" xfId="2825" xr:uid="{00000000-0005-0000-0000-00007C0A0000}"/>
    <cellStyle name="Currency 3 14 6" xfId="2826" xr:uid="{00000000-0005-0000-0000-00007D0A0000}"/>
    <cellStyle name="Currency 3 14 7" xfId="2827" xr:uid="{00000000-0005-0000-0000-00007E0A0000}"/>
    <cellStyle name="Currency 3 14 8" xfId="2828" xr:uid="{00000000-0005-0000-0000-00007F0A0000}"/>
    <cellStyle name="Currency 3 14 9" xfId="2829" xr:uid="{00000000-0005-0000-0000-0000800A0000}"/>
    <cellStyle name="Currency 3 15" xfId="2830" xr:uid="{00000000-0005-0000-0000-0000810A0000}"/>
    <cellStyle name="Currency 3 15 10" xfId="2831" xr:uid="{00000000-0005-0000-0000-0000820A0000}"/>
    <cellStyle name="Currency 3 15 11" xfId="2832" xr:uid="{00000000-0005-0000-0000-0000830A0000}"/>
    <cellStyle name="Currency 3 15 12" xfId="2833" xr:uid="{00000000-0005-0000-0000-0000840A0000}"/>
    <cellStyle name="Currency 3 15 13" xfId="2834" xr:uid="{00000000-0005-0000-0000-0000850A0000}"/>
    <cellStyle name="Currency 3 15 14" xfId="2835" xr:uid="{00000000-0005-0000-0000-0000860A0000}"/>
    <cellStyle name="Currency 3 15 15" xfId="2836" xr:uid="{00000000-0005-0000-0000-0000870A0000}"/>
    <cellStyle name="Currency 3 15 16" xfId="2837" xr:uid="{00000000-0005-0000-0000-0000880A0000}"/>
    <cellStyle name="Currency 3 15 17" xfId="2838" xr:uid="{00000000-0005-0000-0000-0000890A0000}"/>
    <cellStyle name="Currency 3 15 18" xfId="2839" xr:uid="{00000000-0005-0000-0000-00008A0A0000}"/>
    <cellStyle name="Currency 3 15 2" xfId="2840" xr:uid="{00000000-0005-0000-0000-00008B0A0000}"/>
    <cellStyle name="Currency 3 15 3" xfId="2841" xr:uid="{00000000-0005-0000-0000-00008C0A0000}"/>
    <cellStyle name="Currency 3 15 4" xfId="2842" xr:uid="{00000000-0005-0000-0000-00008D0A0000}"/>
    <cellStyle name="Currency 3 15 5" xfId="2843" xr:uid="{00000000-0005-0000-0000-00008E0A0000}"/>
    <cellStyle name="Currency 3 15 6" xfId="2844" xr:uid="{00000000-0005-0000-0000-00008F0A0000}"/>
    <cellStyle name="Currency 3 15 7" xfId="2845" xr:uid="{00000000-0005-0000-0000-0000900A0000}"/>
    <cellStyle name="Currency 3 15 8" xfId="2846" xr:uid="{00000000-0005-0000-0000-0000910A0000}"/>
    <cellStyle name="Currency 3 15 9" xfId="2847" xr:uid="{00000000-0005-0000-0000-0000920A0000}"/>
    <cellStyle name="Currency 3 16" xfId="2848" xr:uid="{00000000-0005-0000-0000-0000930A0000}"/>
    <cellStyle name="Currency 3 17" xfId="2849" xr:uid="{00000000-0005-0000-0000-0000940A0000}"/>
    <cellStyle name="Currency 3 18" xfId="2850" xr:uid="{00000000-0005-0000-0000-0000950A0000}"/>
    <cellStyle name="Currency 3 19" xfId="2851" xr:uid="{00000000-0005-0000-0000-0000960A0000}"/>
    <cellStyle name="Currency 3 2" xfId="2852" xr:uid="{00000000-0005-0000-0000-0000970A0000}"/>
    <cellStyle name="Currency 3 2 10" xfId="2853" xr:uid="{00000000-0005-0000-0000-0000980A0000}"/>
    <cellStyle name="Currency 3 2 11" xfId="2854" xr:uid="{00000000-0005-0000-0000-0000990A0000}"/>
    <cellStyle name="Currency 3 2 12" xfId="2855" xr:uid="{00000000-0005-0000-0000-00009A0A0000}"/>
    <cellStyle name="Currency 3 2 13" xfId="2856" xr:uid="{00000000-0005-0000-0000-00009B0A0000}"/>
    <cellStyle name="Currency 3 2 14" xfId="2857" xr:uid="{00000000-0005-0000-0000-00009C0A0000}"/>
    <cellStyle name="Currency 3 2 15" xfId="2858" xr:uid="{00000000-0005-0000-0000-00009D0A0000}"/>
    <cellStyle name="Currency 3 2 16" xfId="2859" xr:uid="{00000000-0005-0000-0000-00009E0A0000}"/>
    <cellStyle name="Currency 3 2 17" xfId="2860" xr:uid="{00000000-0005-0000-0000-00009F0A0000}"/>
    <cellStyle name="Currency 3 2 18" xfId="2861" xr:uid="{00000000-0005-0000-0000-0000A00A0000}"/>
    <cellStyle name="Currency 3 2 19" xfId="2862" xr:uid="{00000000-0005-0000-0000-0000A10A0000}"/>
    <cellStyle name="Currency 3 2 2" xfId="2863" xr:uid="{00000000-0005-0000-0000-0000A20A0000}"/>
    <cellStyle name="Currency 3 2 20" xfId="2864" xr:uid="{00000000-0005-0000-0000-0000A30A0000}"/>
    <cellStyle name="Currency 3 2 21" xfId="2865" xr:uid="{00000000-0005-0000-0000-0000A40A0000}"/>
    <cellStyle name="Currency 3 2 22" xfId="2866" xr:uid="{00000000-0005-0000-0000-0000A50A0000}"/>
    <cellStyle name="Currency 3 2 23" xfId="2867" xr:uid="{00000000-0005-0000-0000-0000A60A0000}"/>
    <cellStyle name="Currency 3 2 24" xfId="2868" xr:uid="{00000000-0005-0000-0000-0000A70A0000}"/>
    <cellStyle name="Currency 3 2 25" xfId="2869" xr:uid="{00000000-0005-0000-0000-0000A80A0000}"/>
    <cellStyle name="Currency 3 2 26" xfId="2870" xr:uid="{00000000-0005-0000-0000-0000A90A0000}"/>
    <cellStyle name="Currency 3 2 27" xfId="2871" xr:uid="{00000000-0005-0000-0000-0000AA0A0000}"/>
    <cellStyle name="Currency 3 2 28" xfId="2872" xr:uid="{00000000-0005-0000-0000-0000AB0A0000}"/>
    <cellStyle name="Currency 3 2 29" xfId="2873" xr:uid="{00000000-0005-0000-0000-0000AC0A0000}"/>
    <cellStyle name="Currency 3 2 3" xfId="2874" xr:uid="{00000000-0005-0000-0000-0000AD0A0000}"/>
    <cellStyle name="Currency 3 2 30" xfId="2875" xr:uid="{00000000-0005-0000-0000-0000AE0A0000}"/>
    <cellStyle name="Currency 3 2 31" xfId="2876" xr:uid="{00000000-0005-0000-0000-0000AF0A0000}"/>
    <cellStyle name="Currency 3 2 32" xfId="2877" xr:uid="{00000000-0005-0000-0000-0000B00A0000}"/>
    <cellStyle name="Currency 3 2 33" xfId="2878" xr:uid="{00000000-0005-0000-0000-0000B10A0000}"/>
    <cellStyle name="Currency 3 2 34" xfId="2879" xr:uid="{00000000-0005-0000-0000-0000B20A0000}"/>
    <cellStyle name="Currency 3 2 35" xfId="2880" xr:uid="{00000000-0005-0000-0000-0000B30A0000}"/>
    <cellStyle name="Currency 3 2 36" xfId="2881" xr:uid="{00000000-0005-0000-0000-0000B40A0000}"/>
    <cellStyle name="Currency 3 2 37" xfId="2882" xr:uid="{00000000-0005-0000-0000-0000B50A0000}"/>
    <cellStyle name="Currency 3 2 38" xfId="2883" xr:uid="{00000000-0005-0000-0000-0000B60A0000}"/>
    <cellStyle name="Currency 3 2 39" xfId="2884" xr:uid="{00000000-0005-0000-0000-0000B70A0000}"/>
    <cellStyle name="Currency 3 2 4" xfId="2885" xr:uid="{00000000-0005-0000-0000-0000B80A0000}"/>
    <cellStyle name="Currency 3 2 40" xfId="2886" xr:uid="{00000000-0005-0000-0000-0000B90A0000}"/>
    <cellStyle name="Currency 3 2 41" xfId="2887" xr:uid="{00000000-0005-0000-0000-0000BA0A0000}"/>
    <cellStyle name="Currency 3 2 42" xfId="2888" xr:uid="{00000000-0005-0000-0000-0000BB0A0000}"/>
    <cellStyle name="Currency 3 2 43" xfId="2889" xr:uid="{00000000-0005-0000-0000-0000BC0A0000}"/>
    <cellStyle name="Currency 3 2 5" xfId="2890" xr:uid="{00000000-0005-0000-0000-0000BD0A0000}"/>
    <cellStyle name="Currency 3 2 6" xfId="2891" xr:uid="{00000000-0005-0000-0000-0000BE0A0000}"/>
    <cellStyle name="Currency 3 2 7" xfId="2892" xr:uid="{00000000-0005-0000-0000-0000BF0A0000}"/>
    <cellStyle name="Currency 3 2 8" xfId="2893" xr:uid="{00000000-0005-0000-0000-0000C00A0000}"/>
    <cellStyle name="Currency 3 2 9" xfId="2894" xr:uid="{00000000-0005-0000-0000-0000C10A0000}"/>
    <cellStyle name="Currency 3 20" xfId="2895" xr:uid="{00000000-0005-0000-0000-0000C20A0000}"/>
    <cellStyle name="Currency 3 21" xfId="2896" xr:uid="{00000000-0005-0000-0000-0000C30A0000}"/>
    <cellStyle name="Currency 3 22" xfId="2897" xr:uid="{00000000-0005-0000-0000-0000C40A0000}"/>
    <cellStyle name="Currency 3 23" xfId="2898" xr:uid="{00000000-0005-0000-0000-0000C50A0000}"/>
    <cellStyle name="Currency 3 24" xfId="2899" xr:uid="{00000000-0005-0000-0000-0000C60A0000}"/>
    <cellStyle name="Currency 3 3" xfId="2900" xr:uid="{00000000-0005-0000-0000-0000C70A0000}"/>
    <cellStyle name="Currency 3 3 10" xfId="2901" xr:uid="{00000000-0005-0000-0000-0000C80A0000}"/>
    <cellStyle name="Currency 3 3 11" xfId="2902" xr:uid="{00000000-0005-0000-0000-0000C90A0000}"/>
    <cellStyle name="Currency 3 3 12" xfId="2903" xr:uid="{00000000-0005-0000-0000-0000CA0A0000}"/>
    <cellStyle name="Currency 3 3 13" xfId="2904" xr:uid="{00000000-0005-0000-0000-0000CB0A0000}"/>
    <cellStyle name="Currency 3 3 14" xfId="2905" xr:uid="{00000000-0005-0000-0000-0000CC0A0000}"/>
    <cellStyle name="Currency 3 3 15" xfId="2906" xr:uid="{00000000-0005-0000-0000-0000CD0A0000}"/>
    <cellStyle name="Currency 3 3 16" xfId="2907" xr:uid="{00000000-0005-0000-0000-0000CE0A0000}"/>
    <cellStyle name="Currency 3 3 17" xfId="2908" xr:uid="{00000000-0005-0000-0000-0000CF0A0000}"/>
    <cellStyle name="Currency 3 3 18" xfId="2909" xr:uid="{00000000-0005-0000-0000-0000D00A0000}"/>
    <cellStyle name="Currency 3 3 19" xfId="2910" xr:uid="{00000000-0005-0000-0000-0000D10A0000}"/>
    <cellStyle name="Currency 3 3 2" xfId="2911" xr:uid="{00000000-0005-0000-0000-0000D20A0000}"/>
    <cellStyle name="Currency 3 3 20" xfId="2912" xr:uid="{00000000-0005-0000-0000-0000D30A0000}"/>
    <cellStyle name="Currency 3 3 21" xfId="2913" xr:uid="{00000000-0005-0000-0000-0000D40A0000}"/>
    <cellStyle name="Currency 3 3 22" xfId="2914" xr:uid="{00000000-0005-0000-0000-0000D50A0000}"/>
    <cellStyle name="Currency 3 3 23" xfId="2915" xr:uid="{00000000-0005-0000-0000-0000D60A0000}"/>
    <cellStyle name="Currency 3 3 24" xfId="2916" xr:uid="{00000000-0005-0000-0000-0000D70A0000}"/>
    <cellStyle name="Currency 3 3 25" xfId="2917" xr:uid="{00000000-0005-0000-0000-0000D80A0000}"/>
    <cellStyle name="Currency 3 3 26" xfId="2918" xr:uid="{00000000-0005-0000-0000-0000D90A0000}"/>
    <cellStyle name="Currency 3 3 27" xfId="2919" xr:uid="{00000000-0005-0000-0000-0000DA0A0000}"/>
    <cellStyle name="Currency 3 3 28" xfId="2920" xr:uid="{00000000-0005-0000-0000-0000DB0A0000}"/>
    <cellStyle name="Currency 3 3 29" xfId="2921" xr:uid="{00000000-0005-0000-0000-0000DC0A0000}"/>
    <cellStyle name="Currency 3 3 3" xfId="2922" xr:uid="{00000000-0005-0000-0000-0000DD0A0000}"/>
    <cellStyle name="Currency 3 3 30" xfId="2923" xr:uid="{00000000-0005-0000-0000-0000DE0A0000}"/>
    <cellStyle name="Currency 3 3 31" xfId="2924" xr:uid="{00000000-0005-0000-0000-0000DF0A0000}"/>
    <cellStyle name="Currency 3 3 32" xfId="2925" xr:uid="{00000000-0005-0000-0000-0000E00A0000}"/>
    <cellStyle name="Currency 3 3 33" xfId="2926" xr:uid="{00000000-0005-0000-0000-0000E10A0000}"/>
    <cellStyle name="Currency 3 3 34" xfId="2927" xr:uid="{00000000-0005-0000-0000-0000E20A0000}"/>
    <cellStyle name="Currency 3 3 35" xfId="2928" xr:uid="{00000000-0005-0000-0000-0000E30A0000}"/>
    <cellStyle name="Currency 3 3 36" xfId="2929" xr:uid="{00000000-0005-0000-0000-0000E40A0000}"/>
    <cellStyle name="Currency 3 3 37" xfId="2930" xr:uid="{00000000-0005-0000-0000-0000E50A0000}"/>
    <cellStyle name="Currency 3 3 38" xfId="2931" xr:uid="{00000000-0005-0000-0000-0000E60A0000}"/>
    <cellStyle name="Currency 3 3 39" xfId="2932" xr:uid="{00000000-0005-0000-0000-0000E70A0000}"/>
    <cellStyle name="Currency 3 3 4" xfId="2933" xr:uid="{00000000-0005-0000-0000-0000E80A0000}"/>
    <cellStyle name="Currency 3 3 40" xfId="2934" xr:uid="{00000000-0005-0000-0000-0000E90A0000}"/>
    <cellStyle name="Currency 3 3 41" xfId="2935" xr:uid="{00000000-0005-0000-0000-0000EA0A0000}"/>
    <cellStyle name="Currency 3 3 42" xfId="2936" xr:uid="{00000000-0005-0000-0000-0000EB0A0000}"/>
    <cellStyle name="Currency 3 3 43" xfId="2937" xr:uid="{00000000-0005-0000-0000-0000EC0A0000}"/>
    <cellStyle name="Currency 3 3 44" xfId="2938" xr:uid="{00000000-0005-0000-0000-0000ED0A0000}"/>
    <cellStyle name="Currency 3 3 45" xfId="2939" xr:uid="{00000000-0005-0000-0000-0000EE0A0000}"/>
    <cellStyle name="Currency 3 3 5" xfId="2940" xr:uid="{00000000-0005-0000-0000-0000EF0A0000}"/>
    <cellStyle name="Currency 3 3 6" xfId="2941" xr:uid="{00000000-0005-0000-0000-0000F00A0000}"/>
    <cellStyle name="Currency 3 3 7" xfId="2942" xr:uid="{00000000-0005-0000-0000-0000F10A0000}"/>
    <cellStyle name="Currency 3 3 8" xfId="2943" xr:uid="{00000000-0005-0000-0000-0000F20A0000}"/>
    <cellStyle name="Currency 3 3 9" xfId="2944" xr:uid="{00000000-0005-0000-0000-0000F30A0000}"/>
    <cellStyle name="Currency 3 4" xfId="2945" xr:uid="{00000000-0005-0000-0000-0000F40A0000}"/>
    <cellStyle name="Currency 3 5" xfId="2946" xr:uid="{00000000-0005-0000-0000-0000F50A0000}"/>
    <cellStyle name="Currency 3 6" xfId="2947" xr:uid="{00000000-0005-0000-0000-0000F60A0000}"/>
    <cellStyle name="Currency 3 7" xfId="2948" xr:uid="{00000000-0005-0000-0000-0000F70A0000}"/>
    <cellStyle name="Currency 3 8" xfId="2949" xr:uid="{00000000-0005-0000-0000-0000F80A0000}"/>
    <cellStyle name="Currency 3 9" xfId="2950" xr:uid="{00000000-0005-0000-0000-0000F90A0000}"/>
    <cellStyle name="Currency 37" xfId="2951" xr:uid="{00000000-0005-0000-0000-0000FA0A0000}"/>
    <cellStyle name="Currency 4" xfId="2952" xr:uid="{00000000-0005-0000-0000-0000FB0A0000}"/>
    <cellStyle name="Currency 4 10" xfId="2953" xr:uid="{00000000-0005-0000-0000-0000FC0A0000}"/>
    <cellStyle name="Currency 4 11" xfId="2954" xr:uid="{00000000-0005-0000-0000-0000FD0A0000}"/>
    <cellStyle name="Currency 4 12" xfId="2955" xr:uid="{00000000-0005-0000-0000-0000FE0A0000}"/>
    <cellStyle name="Currency 4 13" xfId="2956" xr:uid="{00000000-0005-0000-0000-0000FF0A0000}"/>
    <cellStyle name="Currency 4 14" xfId="2957" xr:uid="{00000000-0005-0000-0000-0000000B0000}"/>
    <cellStyle name="Currency 4 15" xfId="2958" xr:uid="{00000000-0005-0000-0000-0000010B0000}"/>
    <cellStyle name="Currency 4 16" xfId="2959" xr:uid="{00000000-0005-0000-0000-0000020B0000}"/>
    <cellStyle name="Currency 4 17" xfId="2960" xr:uid="{00000000-0005-0000-0000-0000030B0000}"/>
    <cellStyle name="Currency 4 18" xfId="2961" xr:uid="{00000000-0005-0000-0000-0000040B0000}"/>
    <cellStyle name="Currency 4 19" xfId="2962" xr:uid="{00000000-0005-0000-0000-0000050B0000}"/>
    <cellStyle name="Currency 4 2" xfId="2963" xr:uid="{00000000-0005-0000-0000-0000060B0000}"/>
    <cellStyle name="Currency 4 2 10" xfId="2964" xr:uid="{00000000-0005-0000-0000-0000070B0000}"/>
    <cellStyle name="Currency 4 2 11" xfId="2965" xr:uid="{00000000-0005-0000-0000-0000080B0000}"/>
    <cellStyle name="Currency 4 2 12" xfId="2966" xr:uid="{00000000-0005-0000-0000-0000090B0000}"/>
    <cellStyle name="Currency 4 2 13" xfId="2967" xr:uid="{00000000-0005-0000-0000-00000A0B0000}"/>
    <cellStyle name="Currency 4 2 14" xfId="2968" xr:uid="{00000000-0005-0000-0000-00000B0B0000}"/>
    <cellStyle name="Currency 4 2 15" xfId="2969" xr:uid="{00000000-0005-0000-0000-00000C0B0000}"/>
    <cellStyle name="Currency 4 2 16" xfId="2970" xr:uid="{00000000-0005-0000-0000-00000D0B0000}"/>
    <cellStyle name="Currency 4 2 17" xfId="2971" xr:uid="{00000000-0005-0000-0000-00000E0B0000}"/>
    <cellStyle name="Currency 4 2 18" xfId="2972" xr:uid="{00000000-0005-0000-0000-00000F0B0000}"/>
    <cellStyle name="Currency 4 2 19" xfId="2973" xr:uid="{00000000-0005-0000-0000-0000100B0000}"/>
    <cellStyle name="Currency 4 2 2" xfId="2974" xr:uid="{00000000-0005-0000-0000-0000110B0000}"/>
    <cellStyle name="Currency 4 2 20" xfId="2975" xr:uid="{00000000-0005-0000-0000-0000120B0000}"/>
    <cellStyle name="Currency 4 2 3" xfId="2976" xr:uid="{00000000-0005-0000-0000-0000130B0000}"/>
    <cellStyle name="Currency 4 2 4" xfId="2977" xr:uid="{00000000-0005-0000-0000-0000140B0000}"/>
    <cellStyle name="Currency 4 2 5" xfId="2978" xr:uid="{00000000-0005-0000-0000-0000150B0000}"/>
    <cellStyle name="Currency 4 2 6" xfId="2979" xr:uid="{00000000-0005-0000-0000-0000160B0000}"/>
    <cellStyle name="Currency 4 2 7" xfId="2980" xr:uid="{00000000-0005-0000-0000-0000170B0000}"/>
    <cellStyle name="Currency 4 2 8" xfId="2981" xr:uid="{00000000-0005-0000-0000-0000180B0000}"/>
    <cellStyle name="Currency 4 2 9" xfId="2982" xr:uid="{00000000-0005-0000-0000-0000190B0000}"/>
    <cellStyle name="Currency 4 20" xfId="2983" xr:uid="{00000000-0005-0000-0000-00001A0B0000}"/>
    <cellStyle name="Currency 4 21" xfId="2984" xr:uid="{00000000-0005-0000-0000-00001B0B0000}"/>
    <cellStyle name="Currency 4 22" xfId="2985" xr:uid="{00000000-0005-0000-0000-00001C0B0000}"/>
    <cellStyle name="Currency 4 23" xfId="2986" xr:uid="{00000000-0005-0000-0000-00001D0B0000}"/>
    <cellStyle name="Currency 4 3" xfId="2987" xr:uid="{00000000-0005-0000-0000-00001E0B0000}"/>
    <cellStyle name="Currency 4 3 10" xfId="2988" xr:uid="{00000000-0005-0000-0000-00001F0B0000}"/>
    <cellStyle name="Currency 4 3 11" xfId="2989" xr:uid="{00000000-0005-0000-0000-0000200B0000}"/>
    <cellStyle name="Currency 4 3 12" xfId="2990" xr:uid="{00000000-0005-0000-0000-0000210B0000}"/>
    <cellStyle name="Currency 4 3 13" xfId="2991" xr:uid="{00000000-0005-0000-0000-0000220B0000}"/>
    <cellStyle name="Currency 4 3 14" xfId="2992" xr:uid="{00000000-0005-0000-0000-0000230B0000}"/>
    <cellStyle name="Currency 4 3 15" xfId="2993" xr:uid="{00000000-0005-0000-0000-0000240B0000}"/>
    <cellStyle name="Currency 4 3 16" xfId="2994" xr:uid="{00000000-0005-0000-0000-0000250B0000}"/>
    <cellStyle name="Currency 4 3 17" xfId="2995" xr:uid="{00000000-0005-0000-0000-0000260B0000}"/>
    <cellStyle name="Currency 4 3 18" xfId="2996" xr:uid="{00000000-0005-0000-0000-0000270B0000}"/>
    <cellStyle name="Currency 4 3 19" xfId="2997" xr:uid="{00000000-0005-0000-0000-0000280B0000}"/>
    <cellStyle name="Currency 4 3 2" xfId="2998" xr:uid="{00000000-0005-0000-0000-0000290B0000}"/>
    <cellStyle name="Currency 4 3 20" xfId="2999" xr:uid="{00000000-0005-0000-0000-00002A0B0000}"/>
    <cellStyle name="Currency 4 3 21" xfId="3000" xr:uid="{00000000-0005-0000-0000-00002B0B0000}"/>
    <cellStyle name="Currency 4 3 22" xfId="3001" xr:uid="{00000000-0005-0000-0000-00002C0B0000}"/>
    <cellStyle name="Currency 4 3 23" xfId="3002" xr:uid="{00000000-0005-0000-0000-00002D0B0000}"/>
    <cellStyle name="Currency 4 3 24" xfId="3003" xr:uid="{00000000-0005-0000-0000-00002E0B0000}"/>
    <cellStyle name="Currency 4 3 25" xfId="3004" xr:uid="{00000000-0005-0000-0000-00002F0B0000}"/>
    <cellStyle name="Currency 4 3 26" xfId="3005" xr:uid="{00000000-0005-0000-0000-0000300B0000}"/>
    <cellStyle name="Currency 4 3 27" xfId="3006" xr:uid="{00000000-0005-0000-0000-0000310B0000}"/>
    <cellStyle name="Currency 4 3 28" xfId="3007" xr:uid="{00000000-0005-0000-0000-0000320B0000}"/>
    <cellStyle name="Currency 4 3 29" xfId="3008" xr:uid="{00000000-0005-0000-0000-0000330B0000}"/>
    <cellStyle name="Currency 4 3 3" xfId="3009" xr:uid="{00000000-0005-0000-0000-0000340B0000}"/>
    <cellStyle name="Currency 4 3 30" xfId="3010" xr:uid="{00000000-0005-0000-0000-0000350B0000}"/>
    <cellStyle name="Currency 4 3 31" xfId="3011" xr:uid="{00000000-0005-0000-0000-0000360B0000}"/>
    <cellStyle name="Currency 4 3 32" xfId="3012" xr:uid="{00000000-0005-0000-0000-0000370B0000}"/>
    <cellStyle name="Currency 4 3 33" xfId="3013" xr:uid="{00000000-0005-0000-0000-0000380B0000}"/>
    <cellStyle name="Currency 4 3 34" xfId="3014" xr:uid="{00000000-0005-0000-0000-0000390B0000}"/>
    <cellStyle name="Currency 4 3 35" xfId="3015" xr:uid="{00000000-0005-0000-0000-00003A0B0000}"/>
    <cellStyle name="Currency 4 3 36" xfId="3016" xr:uid="{00000000-0005-0000-0000-00003B0B0000}"/>
    <cellStyle name="Currency 4 3 37" xfId="3017" xr:uid="{00000000-0005-0000-0000-00003C0B0000}"/>
    <cellStyle name="Currency 4 3 38" xfId="3018" xr:uid="{00000000-0005-0000-0000-00003D0B0000}"/>
    <cellStyle name="Currency 4 3 39" xfId="3019" xr:uid="{00000000-0005-0000-0000-00003E0B0000}"/>
    <cellStyle name="Currency 4 3 4" xfId="3020" xr:uid="{00000000-0005-0000-0000-00003F0B0000}"/>
    <cellStyle name="Currency 4 3 40" xfId="3021" xr:uid="{00000000-0005-0000-0000-0000400B0000}"/>
    <cellStyle name="Currency 4 3 41" xfId="3022" xr:uid="{00000000-0005-0000-0000-0000410B0000}"/>
    <cellStyle name="Currency 4 3 42" xfId="3023" xr:uid="{00000000-0005-0000-0000-0000420B0000}"/>
    <cellStyle name="Currency 4 3 43" xfId="3024" xr:uid="{00000000-0005-0000-0000-0000430B0000}"/>
    <cellStyle name="Currency 4 3 5" xfId="3025" xr:uid="{00000000-0005-0000-0000-0000440B0000}"/>
    <cellStyle name="Currency 4 3 6" xfId="3026" xr:uid="{00000000-0005-0000-0000-0000450B0000}"/>
    <cellStyle name="Currency 4 3 7" xfId="3027" xr:uid="{00000000-0005-0000-0000-0000460B0000}"/>
    <cellStyle name="Currency 4 3 8" xfId="3028" xr:uid="{00000000-0005-0000-0000-0000470B0000}"/>
    <cellStyle name="Currency 4 3 9" xfId="3029" xr:uid="{00000000-0005-0000-0000-0000480B0000}"/>
    <cellStyle name="Currency 4 4" xfId="3030" xr:uid="{00000000-0005-0000-0000-0000490B0000}"/>
    <cellStyle name="Currency 4 5" xfId="3031" xr:uid="{00000000-0005-0000-0000-00004A0B0000}"/>
    <cellStyle name="Currency 4 6" xfId="3032" xr:uid="{00000000-0005-0000-0000-00004B0B0000}"/>
    <cellStyle name="Currency 4 7" xfId="3033" xr:uid="{00000000-0005-0000-0000-00004C0B0000}"/>
    <cellStyle name="Currency 4 8" xfId="3034" xr:uid="{00000000-0005-0000-0000-00004D0B0000}"/>
    <cellStyle name="Currency 4 9" xfId="3035" xr:uid="{00000000-0005-0000-0000-00004E0B0000}"/>
    <cellStyle name="Currency 40" xfId="3036" xr:uid="{00000000-0005-0000-0000-00004F0B0000}"/>
    <cellStyle name="Currency 5" xfId="3037" xr:uid="{00000000-0005-0000-0000-0000500B0000}"/>
    <cellStyle name="Currency 5 10" xfId="3038" xr:uid="{00000000-0005-0000-0000-0000510B0000}"/>
    <cellStyle name="Currency 5 11" xfId="3039" xr:uid="{00000000-0005-0000-0000-0000520B0000}"/>
    <cellStyle name="Currency 5 12" xfId="3040" xr:uid="{00000000-0005-0000-0000-0000530B0000}"/>
    <cellStyle name="Currency 5 13" xfId="3041" xr:uid="{00000000-0005-0000-0000-0000540B0000}"/>
    <cellStyle name="Currency 5 14" xfId="3042" xr:uid="{00000000-0005-0000-0000-0000550B0000}"/>
    <cellStyle name="Currency 5 15" xfId="3043" xr:uid="{00000000-0005-0000-0000-0000560B0000}"/>
    <cellStyle name="Currency 5 16" xfId="3044" xr:uid="{00000000-0005-0000-0000-0000570B0000}"/>
    <cellStyle name="Currency 5 17" xfId="3045" xr:uid="{00000000-0005-0000-0000-0000580B0000}"/>
    <cellStyle name="Currency 5 18" xfId="3046" xr:uid="{00000000-0005-0000-0000-0000590B0000}"/>
    <cellStyle name="Currency 5 19" xfId="3047" xr:uid="{00000000-0005-0000-0000-00005A0B0000}"/>
    <cellStyle name="Currency 5 2" xfId="3048" xr:uid="{00000000-0005-0000-0000-00005B0B0000}"/>
    <cellStyle name="Currency 5 2 2" xfId="3049" xr:uid="{00000000-0005-0000-0000-00005C0B0000}"/>
    <cellStyle name="Currency 5 3" xfId="3050" xr:uid="{00000000-0005-0000-0000-00005D0B0000}"/>
    <cellStyle name="Currency 5 4" xfId="3051" xr:uid="{00000000-0005-0000-0000-00005E0B0000}"/>
    <cellStyle name="Currency 5 5" xfId="3052" xr:uid="{00000000-0005-0000-0000-00005F0B0000}"/>
    <cellStyle name="Currency 5 6" xfId="3053" xr:uid="{00000000-0005-0000-0000-0000600B0000}"/>
    <cellStyle name="Currency 5 7" xfId="3054" xr:uid="{00000000-0005-0000-0000-0000610B0000}"/>
    <cellStyle name="Currency 5 8" xfId="3055" xr:uid="{00000000-0005-0000-0000-0000620B0000}"/>
    <cellStyle name="Currency 5 9" xfId="3056" xr:uid="{00000000-0005-0000-0000-0000630B0000}"/>
    <cellStyle name="Currency 6" xfId="3057" xr:uid="{00000000-0005-0000-0000-0000640B0000}"/>
    <cellStyle name="Currency 6 10" xfId="3058" xr:uid="{00000000-0005-0000-0000-0000650B0000}"/>
    <cellStyle name="Currency 6 11" xfId="3059" xr:uid="{00000000-0005-0000-0000-0000660B0000}"/>
    <cellStyle name="Currency 6 12" xfId="3060" xr:uid="{00000000-0005-0000-0000-0000670B0000}"/>
    <cellStyle name="Currency 6 13" xfId="3061" xr:uid="{00000000-0005-0000-0000-0000680B0000}"/>
    <cellStyle name="Currency 6 14" xfId="3062" xr:uid="{00000000-0005-0000-0000-0000690B0000}"/>
    <cellStyle name="Currency 6 15" xfId="3063" xr:uid="{00000000-0005-0000-0000-00006A0B0000}"/>
    <cellStyle name="Currency 6 16" xfId="3064" xr:uid="{00000000-0005-0000-0000-00006B0B0000}"/>
    <cellStyle name="Currency 6 17" xfId="3065" xr:uid="{00000000-0005-0000-0000-00006C0B0000}"/>
    <cellStyle name="Currency 6 18" xfId="3066" xr:uid="{00000000-0005-0000-0000-00006D0B0000}"/>
    <cellStyle name="Currency 6 19" xfId="3067" xr:uid="{00000000-0005-0000-0000-00006E0B0000}"/>
    <cellStyle name="Currency 6 2" xfId="3068" xr:uid="{00000000-0005-0000-0000-00006F0B0000}"/>
    <cellStyle name="Currency 6 20" xfId="3069" xr:uid="{00000000-0005-0000-0000-0000700B0000}"/>
    <cellStyle name="Currency 6 21" xfId="3070" xr:uid="{00000000-0005-0000-0000-0000710B0000}"/>
    <cellStyle name="Currency 6 3" xfId="3071" xr:uid="{00000000-0005-0000-0000-0000720B0000}"/>
    <cellStyle name="Currency 6 4" xfId="3072" xr:uid="{00000000-0005-0000-0000-0000730B0000}"/>
    <cellStyle name="Currency 6 5" xfId="3073" xr:uid="{00000000-0005-0000-0000-0000740B0000}"/>
    <cellStyle name="Currency 6 6" xfId="3074" xr:uid="{00000000-0005-0000-0000-0000750B0000}"/>
    <cellStyle name="Currency 6 7" xfId="3075" xr:uid="{00000000-0005-0000-0000-0000760B0000}"/>
    <cellStyle name="Currency 6 8" xfId="3076" xr:uid="{00000000-0005-0000-0000-0000770B0000}"/>
    <cellStyle name="Currency 6 9" xfId="3077" xr:uid="{00000000-0005-0000-0000-0000780B0000}"/>
    <cellStyle name="Currency 63" xfId="3078" xr:uid="{00000000-0005-0000-0000-0000790B0000}"/>
    <cellStyle name="Currency 7" xfId="3079" xr:uid="{00000000-0005-0000-0000-00007A0B0000}"/>
    <cellStyle name="Currency 7 2" xfId="3080" xr:uid="{00000000-0005-0000-0000-00007B0B0000}"/>
    <cellStyle name="Currency 7 3" xfId="3081" xr:uid="{00000000-0005-0000-0000-00007C0B0000}"/>
    <cellStyle name="Currency 7 4" xfId="3082" xr:uid="{00000000-0005-0000-0000-00007D0B0000}"/>
    <cellStyle name="Currency 8" xfId="3083" xr:uid="{00000000-0005-0000-0000-00007E0B0000}"/>
    <cellStyle name="Currency 8 2" xfId="3084" xr:uid="{00000000-0005-0000-0000-00007F0B0000}"/>
    <cellStyle name="Currency 8 3" xfId="3085" xr:uid="{00000000-0005-0000-0000-0000800B0000}"/>
    <cellStyle name="Currency 8 4" xfId="3086" xr:uid="{00000000-0005-0000-0000-0000810B0000}"/>
    <cellStyle name="Currency 9" xfId="3087" xr:uid="{00000000-0005-0000-0000-0000820B0000}"/>
    <cellStyle name="Currency0" xfId="142" xr:uid="{00000000-0005-0000-0000-0000830B0000}"/>
    <cellStyle name="Data" xfId="143" xr:uid="{00000000-0005-0000-0000-0000840B0000}"/>
    <cellStyle name="Data no deci" xfId="144" xr:uid="{00000000-0005-0000-0000-0000850B0000}"/>
    <cellStyle name="Data Superscript" xfId="145" xr:uid="{00000000-0005-0000-0000-0000860B0000}"/>
    <cellStyle name="Data_1-1A-Regular" xfId="146" xr:uid="{00000000-0005-0000-0000-0000870B0000}"/>
    <cellStyle name="Data-one deci" xfId="147" xr:uid="{00000000-0005-0000-0000-0000880B0000}"/>
    <cellStyle name="Date" xfId="148" xr:uid="{00000000-0005-0000-0000-0000890B0000}"/>
    <cellStyle name="Date Aligned" xfId="3088" xr:uid="{00000000-0005-0000-0000-00008A0B0000}"/>
    <cellStyle name="Date_A25 modèle de suivi du régime tarifaire PBC 22Dec07 version beta 1.0 test " xfId="3089" xr:uid="{00000000-0005-0000-0000-00008B0B0000}"/>
    <cellStyle name="DateLong" xfId="3090" xr:uid="{00000000-0005-0000-0000-00008C0B0000}"/>
    <cellStyle name="DateLong 10" xfId="3091" xr:uid="{00000000-0005-0000-0000-00008D0B0000}"/>
    <cellStyle name="DateLong 11" xfId="3092" xr:uid="{00000000-0005-0000-0000-00008E0B0000}"/>
    <cellStyle name="DateLong 12" xfId="3093" xr:uid="{00000000-0005-0000-0000-00008F0B0000}"/>
    <cellStyle name="DateLong 13" xfId="3094" xr:uid="{00000000-0005-0000-0000-0000900B0000}"/>
    <cellStyle name="DateLong 14" xfId="3095" xr:uid="{00000000-0005-0000-0000-0000910B0000}"/>
    <cellStyle name="DateLong 15" xfId="3096" xr:uid="{00000000-0005-0000-0000-0000920B0000}"/>
    <cellStyle name="DateLong 16" xfId="3097" xr:uid="{00000000-0005-0000-0000-0000930B0000}"/>
    <cellStyle name="DateLong 17" xfId="3098" xr:uid="{00000000-0005-0000-0000-0000940B0000}"/>
    <cellStyle name="DateLong 18" xfId="3099" xr:uid="{00000000-0005-0000-0000-0000950B0000}"/>
    <cellStyle name="DateLong 19" xfId="3100" xr:uid="{00000000-0005-0000-0000-0000960B0000}"/>
    <cellStyle name="DateLong 2" xfId="3101" xr:uid="{00000000-0005-0000-0000-0000970B0000}"/>
    <cellStyle name="DateLong 20" xfId="3102" xr:uid="{00000000-0005-0000-0000-0000980B0000}"/>
    <cellStyle name="DateLong 3" xfId="3103" xr:uid="{00000000-0005-0000-0000-0000990B0000}"/>
    <cellStyle name="DateLong 4" xfId="3104" xr:uid="{00000000-0005-0000-0000-00009A0B0000}"/>
    <cellStyle name="DateLong 5" xfId="3105" xr:uid="{00000000-0005-0000-0000-00009B0B0000}"/>
    <cellStyle name="DateLong 6" xfId="3106" xr:uid="{00000000-0005-0000-0000-00009C0B0000}"/>
    <cellStyle name="DateLong 7" xfId="3107" xr:uid="{00000000-0005-0000-0000-00009D0B0000}"/>
    <cellStyle name="DateLong 8" xfId="3108" xr:uid="{00000000-0005-0000-0000-00009E0B0000}"/>
    <cellStyle name="DateLong 9" xfId="3109" xr:uid="{00000000-0005-0000-0000-00009F0B0000}"/>
    <cellStyle name="DateShort" xfId="3110" xr:uid="{00000000-0005-0000-0000-0000A00B0000}"/>
    <cellStyle name="DateShort 10" xfId="3111" xr:uid="{00000000-0005-0000-0000-0000A10B0000}"/>
    <cellStyle name="DateShort 11" xfId="3112" xr:uid="{00000000-0005-0000-0000-0000A20B0000}"/>
    <cellStyle name="DateShort 12" xfId="3113" xr:uid="{00000000-0005-0000-0000-0000A30B0000}"/>
    <cellStyle name="DateShort 13" xfId="3114" xr:uid="{00000000-0005-0000-0000-0000A40B0000}"/>
    <cellStyle name="DateShort 14" xfId="3115" xr:uid="{00000000-0005-0000-0000-0000A50B0000}"/>
    <cellStyle name="DateShort 15" xfId="3116" xr:uid="{00000000-0005-0000-0000-0000A60B0000}"/>
    <cellStyle name="DateShort 16" xfId="3117" xr:uid="{00000000-0005-0000-0000-0000A70B0000}"/>
    <cellStyle name="DateShort 17" xfId="3118" xr:uid="{00000000-0005-0000-0000-0000A80B0000}"/>
    <cellStyle name="DateShort 18" xfId="3119" xr:uid="{00000000-0005-0000-0000-0000A90B0000}"/>
    <cellStyle name="DateShort 19" xfId="3120" xr:uid="{00000000-0005-0000-0000-0000AA0B0000}"/>
    <cellStyle name="DateShort 2" xfId="3121" xr:uid="{00000000-0005-0000-0000-0000AB0B0000}"/>
    <cellStyle name="DateShort 20" xfId="3122" xr:uid="{00000000-0005-0000-0000-0000AC0B0000}"/>
    <cellStyle name="DateShort 3" xfId="3123" xr:uid="{00000000-0005-0000-0000-0000AD0B0000}"/>
    <cellStyle name="DateShort 4" xfId="3124" xr:uid="{00000000-0005-0000-0000-0000AE0B0000}"/>
    <cellStyle name="DateShort 5" xfId="3125" xr:uid="{00000000-0005-0000-0000-0000AF0B0000}"/>
    <cellStyle name="DateShort 6" xfId="3126" xr:uid="{00000000-0005-0000-0000-0000B00B0000}"/>
    <cellStyle name="DateShort 7" xfId="3127" xr:uid="{00000000-0005-0000-0000-0000B10B0000}"/>
    <cellStyle name="DateShort 8" xfId="3128" xr:uid="{00000000-0005-0000-0000-0000B20B0000}"/>
    <cellStyle name="DateShort 9" xfId="3129" xr:uid="{00000000-0005-0000-0000-0000B30B0000}"/>
    <cellStyle name="Dezimal_Gross_Income_EconomicIndustry_Sex" xfId="3130" xr:uid="{00000000-0005-0000-0000-0000B40B0000}"/>
    <cellStyle name="Dotted Line" xfId="3131" xr:uid="{00000000-0005-0000-0000-0000B50B0000}"/>
    <cellStyle name="Encabezado 4" xfId="3132" xr:uid="{00000000-0005-0000-0000-0000B60B0000}"/>
    <cellStyle name="Énfasis1" xfId="3133" xr:uid="{00000000-0005-0000-0000-0000B70B0000}"/>
    <cellStyle name="Énfasis2" xfId="3134" xr:uid="{00000000-0005-0000-0000-0000B80B0000}"/>
    <cellStyle name="Énfasis3" xfId="3135" xr:uid="{00000000-0005-0000-0000-0000B90B0000}"/>
    <cellStyle name="Énfasis4" xfId="3136" xr:uid="{00000000-0005-0000-0000-0000BA0B0000}"/>
    <cellStyle name="Énfasis5" xfId="3137" xr:uid="{00000000-0005-0000-0000-0000BB0B0000}"/>
    <cellStyle name="Énfasis6" xfId="3138" xr:uid="{00000000-0005-0000-0000-0000BC0B0000}"/>
    <cellStyle name="Entrada" xfId="3139" xr:uid="{00000000-0005-0000-0000-0000BD0B0000}"/>
    <cellStyle name="Entrada 10" xfId="3140" xr:uid="{00000000-0005-0000-0000-0000BE0B0000}"/>
    <cellStyle name="Entrada 10 2" xfId="3141" xr:uid="{00000000-0005-0000-0000-0000BF0B0000}"/>
    <cellStyle name="Entrada 11" xfId="3142" xr:uid="{00000000-0005-0000-0000-0000C00B0000}"/>
    <cellStyle name="Entrada 11 2" xfId="3143" xr:uid="{00000000-0005-0000-0000-0000C10B0000}"/>
    <cellStyle name="Entrada 12" xfId="3144" xr:uid="{00000000-0005-0000-0000-0000C20B0000}"/>
    <cellStyle name="Entrada 12 2" xfId="3145" xr:uid="{00000000-0005-0000-0000-0000C30B0000}"/>
    <cellStyle name="Entrada 13" xfId="3146" xr:uid="{00000000-0005-0000-0000-0000C40B0000}"/>
    <cellStyle name="Entrada 13 2" xfId="3147" xr:uid="{00000000-0005-0000-0000-0000C50B0000}"/>
    <cellStyle name="Entrada 14" xfId="3148" xr:uid="{00000000-0005-0000-0000-0000C60B0000}"/>
    <cellStyle name="Entrada 14 2" xfId="3149" xr:uid="{00000000-0005-0000-0000-0000C70B0000}"/>
    <cellStyle name="Entrada 15" xfId="3150" xr:uid="{00000000-0005-0000-0000-0000C80B0000}"/>
    <cellStyle name="Entrada 15 2" xfId="3151" xr:uid="{00000000-0005-0000-0000-0000C90B0000}"/>
    <cellStyle name="Entrada 16" xfId="3152" xr:uid="{00000000-0005-0000-0000-0000CA0B0000}"/>
    <cellStyle name="Entrada 16 2" xfId="3153" xr:uid="{00000000-0005-0000-0000-0000CB0B0000}"/>
    <cellStyle name="Entrada 17" xfId="3154" xr:uid="{00000000-0005-0000-0000-0000CC0B0000}"/>
    <cellStyle name="Entrada 17 2" xfId="3155" xr:uid="{00000000-0005-0000-0000-0000CD0B0000}"/>
    <cellStyle name="Entrada 18" xfId="3156" xr:uid="{00000000-0005-0000-0000-0000CE0B0000}"/>
    <cellStyle name="Entrada 18 2" xfId="3157" xr:uid="{00000000-0005-0000-0000-0000CF0B0000}"/>
    <cellStyle name="Entrada 19" xfId="3158" xr:uid="{00000000-0005-0000-0000-0000D00B0000}"/>
    <cellStyle name="Entrada 19 2" xfId="3159" xr:uid="{00000000-0005-0000-0000-0000D10B0000}"/>
    <cellStyle name="Entrada 2" xfId="3160" xr:uid="{00000000-0005-0000-0000-0000D20B0000}"/>
    <cellStyle name="Entrada 2 10" xfId="3161" xr:uid="{00000000-0005-0000-0000-0000D30B0000}"/>
    <cellStyle name="Entrada 2 10 2" xfId="3162" xr:uid="{00000000-0005-0000-0000-0000D40B0000}"/>
    <cellStyle name="Entrada 2 11" xfId="3163" xr:uid="{00000000-0005-0000-0000-0000D50B0000}"/>
    <cellStyle name="Entrada 2 11 2" xfId="3164" xr:uid="{00000000-0005-0000-0000-0000D60B0000}"/>
    <cellStyle name="Entrada 2 12" xfId="3165" xr:uid="{00000000-0005-0000-0000-0000D70B0000}"/>
    <cellStyle name="Entrada 2 12 2" xfId="3166" xr:uid="{00000000-0005-0000-0000-0000D80B0000}"/>
    <cellStyle name="Entrada 2 13" xfId="3167" xr:uid="{00000000-0005-0000-0000-0000D90B0000}"/>
    <cellStyle name="Entrada 2 13 2" xfId="3168" xr:uid="{00000000-0005-0000-0000-0000DA0B0000}"/>
    <cellStyle name="Entrada 2 14" xfId="3169" xr:uid="{00000000-0005-0000-0000-0000DB0B0000}"/>
    <cellStyle name="Entrada 2 14 2" xfId="3170" xr:uid="{00000000-0005-0000-0000-0000DC0B0000}"/>
    <cellStyle name="Entrada 2 15" xfId="3171" xr:uid="{00000000-0005-0000-0000-0000DD0B0000}"/>
    <cellStyle name="Entrada 2 15 2" xfId="3172" xr:uid="{00000000-0005-0000-0000-0000DE0B0000}"/>
    <cellStyle name="Entrada 2 16" xfId="3173" xr:uid="{00000000-0005-0000-0000-0000DF0B0000}"/>
    <cellStyle name="Entrada 2 16 2" xfId="3174" xr:uid="{00000000-0005-0000-0000-0000E00B0000}"/>
    <cellStyle name="Entrada 2 17" xfId="3175" xr:uid="{00000000-0005-0000-0000-0000E10B0000}"/>
    <cellStyle name="Entrada 2 2" xfId="3176" xr:uid="{00000000-0005-0000-0000-0000E20B0000}"/>
    <cellStyle name="Entrada 2 2 10" xfId="3177" xr:uid="{00000000-0005-0000-0000-0000E30B0000}"/>
    <cellStyle name="Entrada 2 2 10 2" xfId="3178" xr:uid="{00000000-0005-0000-0000-0000E40B0000}"/>
    <cellStyle name="Entrada 2 2 11" xfId="3179" xr:uid="{00000000-0005-0000-0000-0000E50B0000}"/>
    <cellStyle name="Entrada 2 2 11 2" xfId="3180" xr:uid="{00000000-0005-0000-0000-0000E60B0000}"/>
    <cellStyle name="Entrada 2 2 12" xfId="3181" xr:uid="{00000000-0005-0000-0000-0000E70B0000}"/>
    <cellStyle name="Entrada 2 2 12 2" xfId="3182" xr:uid="{00000000-0005-0000-0000-0000E80B0000}"/>
    <cellStyle name="Entrada 2 2 13" xfId="3183" xr:uid="{00000000-0005-0000-0000-0000E90B0000}"/>
    <cellStyle name="Entrada 2 2 13 2" xfId="3184" xr:uid="{00000000-0005-0000-0000-0000EA0B0000}"/>
    <cellStyle name="Entrada 2 2 14" xfId="3185" xr:uid="{00000000-0005-0000-0000-0000EB0B0000}"/>
    <cellStyle name="Entrada 2 2 14 2" xfId="3186" xr:uid="{00000000-0005-0000-0000-0000EC0B0000}"/>
    <cellStyle name="Entrada 2 2 15" xfId="3187" xr:uid="{00000000-0005-0000-0000-0000ED0B0000}"/>
    <cellStyle name="Entrada 2 2 2" xfId="3188" xr:uid="{00000000-0005-0000-0000-0000EE0B0000}"/>
    <cellStyle name="Entrada 2 2 2 2" xfId="3189" xr:uid="{00000000-0005-0000-0000-0000EF0B0000}"/>
    <cellStyle name="Entrada 2 2 3" xfId="3190" xr:uid="{00000000-0005-0000-0000-0000F00B0000}"/>
    <cellStyle name="Entrada 2 2 3 2" xfId="3191" xr:uid="{00000000-0005-0000-0000-0000F10B0000}"/>
    <cellStyle name="Entrada 2 2 4" xfId="3192" xr:uid="{00000000-0005-0000-0000-0000F20B0000}"/>
    <cellStyle name="Entrada 2 2 4 2" xfId="3193" xr:uid="{00000000-0005-0000-0000-0000F30B0000}"/>
    <cellStyle name="Entrada 2 2 5" xfId="3194" xr:uid="{00000000-0005-0000-0000-0000F40B0000}"/>
    <cellStyle name="Entrada 2 2 5 2" xfId="3195" xr:uid="{00000000-0005-0000-0000-0000F50B0000}"/>
    <cellStyle name="Entrada 2 2 6" xfId="3196" xr:uid="{00000000-0005-0000-0000-0000F60B0000}"/>
    <cellStyle name="Entrada 2 2 6 2" xfId="3197" xr:uid="{00000000-0005-0000-0000-0000F70B0000}"/>
    <cellStyle name="Entrada 2 2 7" xfId="3198" xr:uid="{00000000-0005-0000-0000-0000F80B0000}"/>
    <cellStyle name="Entrada 2 2 7 2" xfId="3199" xr:uid="{00000000-0005-0000-0000-0000F90B0000}"/>
    <cellStyle name="Entrada 2 2 8" xfId="3200" xr:uid="{00000000-0005-0000-0000-0000FA0B0000}"/>
    <cellStyle name="Entrada 2 2 8 2" xfId="3201" xr:uid="{00000000-0005-0000-0000-0000FB0B0000}"/>
    <cellStyle name="Entrada 2 2 9" xfId="3202" xr:uid="{00000000-0005-0000-0000-0000FC0B0000}"/>
    <cellStyle name="Entrada 2 2 9 2" xfId="3203" xr:uid="{00000000-0005-0000-0000-0000FD0B0000}"/>
    <cellStyle name="Entrada 2 3" xfId="3204" xr:uid="{00000000-0005-0000-0000-0000FE0B0000}"/>
    <cellStyle name="Entrada 2 3 2" xfId="3205" xr:uid="{00000000-0005-0000-0000-0000FF0B0000}"/>
    <cellStyle name="Entrada 2 3 2 2" xfId="3206" xr:uid="{00000000-0005-0000-0000-0000000C0000}"/>
    <cellStyle name="Entrada 2 3 3" xfId="3207" xr:uid="{00000000-0005-0000-0000-0000010C0000}"/>
    <cellStyle name="Entrada 2 3 3 2" xfId="3208" xr:uid="{00000000-0005-0000-0000-0000020C0000}"/>
    <cellStyle name="Entrada 2 3 4" xfId="3209" xr:uid="{00000000-0005-0000-0000-0000030C0000}"/>
    <cellStyle name="Entrada 2 4" xfId="3210" xr:uid="{00000000-0005-0000-0000-0000040C0000}"/>
    <cellStyle name="Entrada 2 4 2" xfId="3211" xr:uid="{00000000-0005-0000-0000-0000050C0000}"/>
    <cellStyle name="Entrada 2 5" xfId="3212" xr:uid="{00000000-0005-0000-0000-0000060C0000}"/>
    <cellStyle name="Entrada 2 5 2" xfId="3213" xr:uid="{00000000-0005-0000-0000-0000070C0000}"/>
    <cellStyle name="Entrada 2 6" xfId="3214" xr:uid="{00000000-0005-0000-0000-0000080C0000}"/>
    <cellStyle name="Entrada 2 6 2" xfId="3215" xr:uid="{00000000-0005-0000-0000-0000090C0000}"/>
    <cellStyle name="Entrada 2 7" xfId="3216" xr:uid="{00000000-0005-0000-0000-00000A0C0000}"/>
    <cellStyle name="Entrada 2 7 2" xfId="3217" xr:uid="{00000000-0005-0000-0000-00000B0C0000}"/>
    <cellStyle name="Entrada 2 8" xfId="3218" xr:uid="{00000000-0005-0000-0000-00000C0C0000}"/>
    <cellStyle name="Entrada 2 8 2" xfId="3219" xr:uid="{00000000-0005-0000-0000-00000D0C0000}"/>
    <cellStyle name="Entrada 2 9" xfId="3220" xr:uid="{00000000-0005-0000-0000-00000E0C0000}"/>
    <cellStyle name="Entrada 2 9 2" xfId="3221" xr:uid="{00000000-0005-0000-0000-00000F0C0000}"/>
    <cellStyle name="Entrada 20" xfId="3222" xr:uid="{00000000-0005-0000-0000-0000100C0000}"/>
    <cellStyle name="Entrada 20 2" xfId="3223" xr:uid="{00000000-0005-0000-0000-0000110C0000}"/>
    <cellStyle name="Entrada 21" xfId="3224" xr:uid="{00000000-0005-0000-0000-0000120C0000}"/>
    <cellStyle name="Entrada 21 2" xfId="3225" xr:uid="{00000000-0005-0000-0000-0000130C0000}"/>
    <cellStyle name="Entrada 22" xfId="3226" xr:uid="{00000000-0005-0000-0000-0000140C0000}"/>
    <cellStyle name="Entrada 22 2" xfId="3227" xr:uid="{00000000-0005-0000-0000-0000150C0000}"/>
    <cellStyle name="Entrada 3" xfId="3228" xr:uid="{00000000-0005-0000-0000-0000160C0000}"/>
    <cellStyle name="Entrada 3 10" xfId="3229" xr:uid="{00000000-0005-0000-0000-0000170C0000}"/>
    <cellStyle name="Entrada 3 10 2" xfId="3230" xr:uid="{00000000-0005-0000-0000-0000180C0000}"/>
    <cellStyle name="Entrada 3 11" xfId="3231" xr:uid="{00000000-0005-0000-0000-0000190C0000}"/>
    <cellStyle name="Entrada 3 11 2" xfId="3232" xr:uid="{00000000-0005-0000-0000-00001A0C0000}"/>
    <cellStyle name="Entrada 3 12" xfId="3233" xr:uid="{00000000-0005-0000-0000-00001B0C0000}"/>
    <cellStyle name="Entrada 3 12 2" xfId="3234" xr:uid="{00000000-0005-0000-0000-00001C0C0000}"/>
    <cellStyle name="Entrada 3 13" xfId="3235" xr:uid="{00000000-0005-0000-0000-00001D0C0000}"/>
    <cellStyle name="Entrada 3 13 2" xfId="3236" xr:uid="{00000000-0005-0000-0000-00001E0C0000}"/>
    <cellStyle name="Entrada 3 14" xfId="3237" xr:uid="{00000000-0005-0000-0000-00001F0C0000}"/>
    <cellStyle name="Entrada 3 14 2" xfId="3238" xr:uid="{00000000-0005-0000-0000-0000200C0000}"/>
    <cellStyle name="Entrada 3 15" xfId="3239" xr:uid="{00000000-0005-0000-0000-0000210C0000}"/>
    <cellStyle name="Entrada 3 15 2" xfId="3240" xr:uid="{00000000-0005-0000-0000-0000220C0000}"/>
    <cellStyle name="Entrada 3 16" xfId="3241" xr:uid="{00000000-0005-0000-0000-0000230C0000}"/>
    <cellStyle name="Entrada 3 16 2" xfId="3242" xr:uid="{00000000-0005-0000-0000-0000240C0000}"/>
    <cellStyle name="Entrada 3 17" xfId="3243" xr:uid="{00000000-0005-0000-0000-0000250C0000}"/>
    <cellStyle name="Entrada 3 2" xfId="3244" xr:uid="{00000000-0005-0000-0000-0000260C0000}"/>
    <cellStyle name="Entrada 3 2 10" xfId="3245" xr:uid="{00000000-0005-0000-0000-0000270C0000}"/>
    <cellStyle name="Entrada 3 2 10 2" xfId="3246" xr:uid="{00000000-0005-0000-0000-0000280C0000}"/>
    <cellStyle name="Entrada 3 2 11" xfId="3247" xr:uid="{00000000-0005-0000-0000-0000290C0000}"/>
    <cellStyle name="Entrada 3 2 11 2" xfId="3248" xr:uid="{00000000-0005-0000-0000-00002A0C0000}"/>
    <cellStyle name="Entrada 3 2 12" xfId="3249" xr:uid="{00000000-0005-0000-0000-00002B0C0000}"/>
    <cellStyle name="Entrada 3 2 12 2" xfId="3250" xr:uid="{00000000-0005-0000-0000-00002C0C0000}"/>
    <cellStyle name="Entrada 3 2 13" xfId="3251" xr:uid="{00000000-0005-0000-0000-00002D0C0000}"/>
    <cellStyle name="Entrada 3 2 13 2" xfId="3252" xr:uid="{00000000-0005-0000-0000-00002E0C0000}"/>
    <cellStyle name="Entrada 3 2 14" xfId="3253" xr:uid="{00000000-0005-0000-0000-00002F0C0000}"/>
    <cellStyle name="Entrada 3 2 14 2" xfId="3254" xr:uid="{00000000-0005-0000-0000-0000300C0000}"/>
    <cellStyle name="Entrada 3 2 15" xfId="3255" xr:uid="{00000000-0005-0000-0000-0000310C0000}"/>
    <cellStyle name="Entrada 3 2 2" xfId="3256" xr:uid="{00000000-0005-0000-0000-0000320C0000}"/>
    <cellStyle name="Entrada 3 2 2 2" xfId="3257" xr:uid="{00000000-0005-0000-0000-0000330C0000}"/>
    <cellStyle name="Entrada 3 2 3" xfId="3258" xr:uid="{00000000-0005-0000-0000-0000340C0000}"/>
    <cellStyle name="Entrada 3 2 3 2" xfId="3259" xr:uid="{00000000-0005-0000-0000-0000350C0000}"/>
    <cellStyle name="Entrada 3 2 4" xfId="3260" xr:uid="{00000000-0005-0000-0000-0000360C0000}"/>
    <cellStyle name="Entrada 3 2 4 2" xfId="3261" xr:uid="{00000000-0005-0000-0000-0000370C0000}"/>
    <cellStyle name="Entrada 3 2 5" xfId="3262" xr:uid="{00000000-0005-0000-0000-0000380C0000}"/>
    <cellStyle name="Entrada 3 2 5 2" xfId="3263" xr:uid="{00000000-0005-0000-0000-0000390C0000}"/>
    <cellStyle name="Entrada 3 2 6" xfId="3264" xr:uid="{00000000-0005-0000-0000-00003A0C0000}"/>
    <cellStyle name="Entrada 3 2 6 2" xfId="3265" xr:uid="{00000000-0005-0000-0000-00003B0C0000}"/>
    <cellStyle name="Entrada 3 2 7" xfId="3266" xr:uid="{00000000-0005-0000-0000-00003C0C0000}"/>
    <cellStyle name="Entrada 3 2 7 2" xfId="3267" xr:uid="{00000000-0005-0000-0000-00003D0C0000}"/>
    <cellStyle name="Entrada 3 2 8" xfId="3268" xr:uid="{00000000-0005-0000-0000-00003E0C0000}"/>
    <cellStyle name="Entrada 3 2 8 2" xfId="3269" xr:uid="{00000000-0005-0000-0000-00003F0C0000}"/>
    <cellStyle name="Entrada 3 2 9" xfId="3270" xr:uid="{00000000-0005-0000-0000-0000400C0000}"/>
    <cellStyle name="Entrada 3 2 9 2" xfId="3271" xr:uid="{00000000-0005-0000-0000-0000410C0000}"/>
    <cellStyle name="Entrada 3 3" xfId="3272" xr:uid="{00000000-0005-0000-0000-0000420C0000}"/>
    <cellStyle name="Entrada 3 3 2" xfId="3273" xr:uid="{00000000-0005-0000-0000-0000430C0000}"/>
    <cellStyle name="Entrada 3 3 2 2" xfId="3274" xr:uid="{00000000-0005-0000-0000-0000440C0000}"/>
    <cellStyle name="Entrada 3 3 3" xfId="3275" xr:uid="{00000000-0005-0000-0000-0000450C0000}"/>
    <cellStyle name="Entrada 3 3 3 2" xfId="3276" xr:uid="{00000000-0005-0000-0000-0000460C0000}"/>
    <cellStyle name="Entrada 3 3 4" xfId="3277" xr:uid="{00000000-0005-0000-0000-0000470C0000}"/>
    <cellStyle name="Entrada 3 4" xfId="3278" xr:uid="{00000000-0005-0000-0000-0000480C0000}"/>
    <cellStyle name="Entrada 3 4 2" xfId="3279" xr:uid="{00000000-0005-0000-0000-0000490C0000}"/>
    <cellStyle name="Entrada 3 5" xfId="3280" xr:uid="{00000000-0005-0000-0000-00004A0C0000}"/>
    <cellStyle name="Entrada 3 5 2" xfId="3281" xr:uid="{00000000-0005-0000-0000-00004B0C0000}"/>
    <cellStyle name="Entrada 3 6" xfId="3282" xr:uid="{00000000-0005-0000-0000-00004C0C0000}"/>
    <cellStyle name="Entrada 3 6 2" xfId="3283" xr:uid="{00000000-0005-0000-0000-00004D0C0000}"/>
    <cellStyle name="Entrada 3 7" xfId="3284" xr:uid="{00000000-0005-0000-0000-00004E0C0000}"/>
    <cellStyle name="Entrada 3 7 2" xfId="3285" xr:uid="{00000000-0005-0000-0000-00004F0C0000}"/>
    <cellStyle name="Entrada 3 8" xfId="3286" xr:uid="{00000000-0005-0000-0000-0000500C0000}"/>
    <cellStyle name="Entrada 3 8 2" xfId="3287" xr:uid="{00000000-0005-0000-0000-0000510C0000}"/>
    <cellStyle name="Entrada 3 9" xfId="3288" xr:uid="{00000000-0005-0000-0000-0000520C0000}"/>
    <cellStyle name="Entrada 3 9 2" xfId="3289" xr:uid="{00000000-0005-0000-0000-0000530C0000}"/>
    <cellStyle name="Entrada 4" xfId="3290" xr:uid="{00000000-0005-0000-0000-0000540C0000}"/>
    <cellStyle name="Entrada 4 10" xfId="3291" xr:uid="{00000000-0005-0000-0000-0000550C0000}"/>
    <cellStyle name="Entrada 4 10 2" xfId="3292" xr:uid="{00000000-0005-0000-0000-0000560C0000}"/>
    <cellStyle name="Entrada 4 11" xfId="3293" xr:uid="{00000000-0005-0000-0000-0000570C0000}"/>
    <cellStyle name="Entrada 4 11 2" xfId="3294" xr:uid="{00000000-0005-0000-0000-0000580C0000}"/>
    <cellStyle name="Entrada 4 12" xfId="3295" xr:uid="{00000000-0005-0000-0000-0000590C0000}"/>
    <cellStyle name="Entrada 4 12 2" xfId="3296" xr:uid="{00000000-0005-0000-0000-00005A0C0000}"/>
    <cellStyle name="Entrada 4 13" xfId="3297" xr:uid="{00000000-0005-0000-0000-00005B0C0000}"/>
    <cellStyle name="Entrada 4 13 2" xfId="3298" xr:uid="{00000000-0005-0000-0000-00005C0C0000}"/>
    <cellStyle name="Entrada 4 14" xfId="3299" xr:uid="{00000000-0005-0000-0000-00005D0C0000}"/>
    <cellStyle name="Entrada 4 14 2" xfId="3300" xr:uid="{00000000-0005-0000-0000-00005E0C0000}"/>
    <cellStyle name="Entrada 4 15" xfId="3301" xr:uid="{00000000-0005-0000-0000-00005F0C0000}"/>
    <cellStyle name="Entrada 4 15 2" xfId="3302" xr:uid="{00000000-0005-0000-0000-0000600C0000}"/>
    <cellStyle name="Entrada 4 16" xfId="3303" xr:uid="{00000000-0005-0000-0000-0000610C0000}"/>
    <cellStyle name="Entrada 4 16 2" xfId="3304" xr:uid="{00000000-0005-0000-0000-0000620C0000}"/>
    <cellStyle name="Entrada 4 17" xfId="3305" xr:uid="{00000000-0005-0000-0000-0000630C0000}"/>
    <cellStyle name="Entrada 4 2" xfId="3306" xr:uid="{00000000-0005-0000-0000-0000640C0000}"/>
    <cellStyle name="Entrada 4 2 10" xfId="3307" xr:uid="{00000000-0005-0000-0000-0000650C0000}"/>
    <cellStyle name="Entrada 4 2 10 2" xfId="3308" xr:uid="{00000000-0005-0000-0000-0000660C0000}"/>
    <cellStyle name="Entrada 4 2 11" xfId="3309" xr:uid="{00000000-0005-0000-0000-0000670C0000}"/>
    <cellStyle name="Entrada 4 2 11 2" xfId="3310" xr:uid="{00000000-0005-0000-0000-0000680C0000}"/>
    <cellStyle name="Entrada 4 2 12" xfId="3311" xr:uid="{00000000-0005-0000-0000-0000690C0000}"/>
    <cellStyle name="Entrada 4 2 12 2" xfId="3312" xr:uid="{00000000-0005-0000-0000-00006A0C0000}"/>
    <cellStyle name="Entrada 4 2 13" xfId="3313" xr:uid="{00000000-0005-0000-0000-00006B0C0000}"/>
    <cellStyle name="Entrada 4 2 13 2" xfId="3314" xr:uid="{00000000-0005-0000-0000-00006C0C0000}"/>
    <cellStyle name="Entrada 4 2 14" xfId="3315" xr:uid="{00000000-0005-0000-0000-00006D0C0000}"/>
    <cellStyle name="Entrada 4 2 14 2" xfId="3316" xr:uid="{00000000-0005-0000-0000-00006E0C0000}"/>
    <cellStyle name="Entrada 4 2 15" xfId="3317" xr:uid="{00000000-0005-0000-0000-00006F0C0000}"/>
    <cellStyle name="Entrada 4 2 2" xfId="3318" xr:uid="{00000000-0005-0000-0000-0000700C0000}"/>
    <cellStyle name="Entrada 4 2 2 2" xfId="3319" xr:uid="{00000000-0005-0000-0000-0000710C0000}"/>
    <cellStyle name="Entrada 4 2 3" xfId="3320" xr:uid="{00000000-0005-0000-0000-0000720C0000}"/>
    <cellStyle name="Entrada 4 2 3 2" xfId="3321" xr:uid="{00000000-0005-0000-0000-0000730C0000}"/>
    <cellStyle name="Entrada 4 2 4" xfId="3322" xr:uid="{00000000-0005-0000-0000-0000740C0000}"/>
    <cellStyle name="Entrada 4 2 4 2" xfId="3323" xr:uid="{00000000-0005-0000-0000-0000750C0000}"/>
    <cellStyle name="Entrada 4 2 5" xfId="3324" xr:uid="{00000000-0005-0000-0000-0000760C0000}"/>
    <cellStyle name="Entrada 4 2 5 2" xfId="3325" xr:uid="{00000000-0005-0000-0000-0000770C0000}"/>
    <cellStyle name="Entrada 4 2 6" xfId="3326" xr:uid="{00000000-0005-0000-0000-0000780C0000}"/>
    <cellStyle name="Entrada 4 2 6 2" xfId="3327" xr:uid="{00000000-0005-0000-0000-0000790C0000}"/>
    <cellStyle name="Entrada 4 2 7" xfId="3328" xr:uid="{00000000-0005-0000-0000-00007A0C0000}"/>
    <cellStyle name="Entrada 4 2 7 2" xfId="3329" xr:uid="{00000000-0005-0000-0000-00007B0C0000}"/>
    <cellStyle name="Entrada 4 2 8" xfId="3330" xr:uid="{00000000-0005-0000-0000-00007C0C0000}"/>
    <cellStyle name="Entrada 4 2 8 2" xfId="3331" xr:uid="{00000000-0005-0000-0000-00007D0C0000}"/>
    <cellStyle name="Entrada 4 2 9" xfId="3332" xr:uid="{00000000-0005-0000-0000-00007E0C0000}"/>
    <cellStyle name="Entrada 4 2 9 2" xfId="3333" xr:uid="{00000000-0005-0000-0000-00007F0C0000}"/>
    <cellStyle name="Entrada 4 3" xfId="3334" xr:uid="{00000000-0005-0000-0000-0000800C0000}"/>
    <cellStyle name="Entrada 4 3 2" xfId="3335" xr:uid="{00000000-0005-0000-0000-0000810C0000}"/>
    <cellStyle name="Entrada 4 3 2 2" xfId="3336" xr:uid="{00000000-0005-0000-0000-0000820C0000}"/>
    <cellStyle name="Entrada 4 3 3" xfId="3337" xr:uid="{00000000-0005-0000-0000-0000830C0000}"/>
    <cellStyle name="Entrada 4 3 3 2" xfId="3338" xr:uid="{00000000-0005-0000-0000-0000840C0000}"/>
    <cellStyle name="Entrada 4 3 4" xfId="3339" xr:uid="{00000000-0005-0000-0000-0000850C0000}"/>
    <cellStyle name="Entrada 4 4" xfId="3340" xr:uid="{00000000-0005-0000-0000-0000860C0000}"/>
    <cellStyle name="Entrada 4 4 2" xfId="3341" xr:uid="{00000000-0005-0000-0000-0000870C0000}"/>
    <cellStyle name="Entrada 4 5" xfId="3342" xr:uid="{00000000-0005-0000-0000-0000880C0000}"/>
    <cellStyle name="Entrada 4 5 2" xfId="3343" xr:uid="{00000000-0005-0000-0000-0000890C0000}"/>
    <cellStyle name="Entrada 4 6" xfId="3344" xr:uid="{00000000-0005-0000-0000-00008A0C0000}"/>
    <cellStyle name="Entrada 4 6 2" xfId="3345" xr:uid="{00000000-0005-0000-0000-00008B0C0000}"/>
    <cellStyle name="Entrada 4 7" xfId="3346" xr:uid="{00000000-0005-0000-0000-00008C0C0000}"/>
    <cellStyle name="Entrada 4 7 2" xfId="3347" xr:uid="{00000000-0005-0000-0000-00008D0C0000}"/>
    <cellStyle name="Entrada 4 8" xfId="3348" xr:uid="{00000000-0005-0000-0000-00008E0C0000}"/>
    <cellStyle name="Entrada 4 8 2" xfId="3349" xr:uid="{00000000-0005-0000-0000-00008F0C0000}"/>
    <cellStyle name="Entrada 4 9" xfId="3350" xr:uid="{00000000-0005-0000-0000-0000900C0000}"/>
    <cellStyle name="Entrada 4 9 2" xfId="3351" xr:uid="{00000000-0005-0000-0000-0000910C0000}"/>
    <cellStyle name="Entrada 5" xfId="3352" xr:uid="{00000000-0005-0000-0000-0000920C0000}"/>
    <cellStyle name="Entrada 5 10" xfId="3353" xr:uid="{00000000-0005-0000-0000-0000930C0000}"/>
    <cellStyle name="Entrada 5 10 2" xfId="3354" xr:uid="{00000000-0005-0000-0000-0000940C0000}"/>
    <cellStyle name="Entrada 5 11" xfId="3355" xr:uid="{00000000-0005-0000-0000-0000950C0000}"/>
    <cellStyle name="Entrada 5 11 2" xfId="3356" xr:uid="{00000000-0005-0000-0000-0000960C0000}"/>
    <cellStyle name="Entrada 5 12" xfId="3357" xr:uid="{00000000-0005-0000-0000-0000970C0000}"/>
    <cellStyle name="Entrada 5 12 2" xfId="3358" xr:uid="{00000000-0005-0000-0000-0000980C0000}"/>
    <cellStyle name="Entrada 5 13" xfId="3359" xr:uid="{00000000-0005-0000-0000-0000990C0000}"/>
    <cellStyle name="Entrada 5 13 2" xfId="3360" xr:uid="{00000000-0005-0000-0000-00009A0C0000}"/>
    <cellStyle name="Entrada 5 14" xfId="3361" xr:uid="{00000000-0005-0000-0000-00009B0C0000}"/>
    <cellStyle name="Entrada 5 14 2" xfId="3362" xr:uid="{00000000-0005-0000-0000-00009C0C0000}"/>
    <cellStyle name="Entrada 5 15" xfId="3363" xr:uid="{00000000-0005-0000-0000-00009D0C0000}"/>
    <cellStyle name="Entrada 5 15 2" xfId="3364" xr:uid="{00000000-0005-0000-0000-00009E0C0000}"/>
    <cellStyle name="Entrada 5 16" xfId="3365" xr:uid="{00000000-0005-0000-0000-00009F0C0000}"/>
    <cellStyle name="Entrada 5 16 2" xfId="3366" xr:uid="{00000000-0005-0000-0000-0000A00C0000}"/>
    <cellStyle name="Entrada 5 17" xfId="3367" xr:uid="{00000000-0005-0000-0000-0000A10C0000}"/>
    <cellStyle name="Entrada 5 2" xfId="3368" xr:uid="{00000000-0005-0000-0000-0000A20C0000}"/>
    <cellStyle name="Entrada 5 2 10" xfId="3369" xr:uid="{00000000-0005-0000-0000-0000A30C0000}"/>
    <cellStyle name="Entrada 5 2 10 2" xfId="3370" xr:uid="{00000000-0005-0000-0000-0000A40C0000}"/>
    <cellStyle name="Entrada 5 2 11" xfId="3371" xr:uid="{00000000-0005-0000-0000-0000A50C0000}"/>
    <cellStyle name="Entrada 5 2 11 2" xfId="3372" xr:uid="{00000000-0005-0000-0000-0000A60C0000}"/>
    <cellStyle name="Entrada 5 2 12" xfId="3373" xr:uid="{00000000-0005-0000-0000-0000A70C0000}"/>
    <cellStyle name="Entrada 5 2 12 2" xfId="3374" xr:uid="{00000000-0005-0000-0000-0000A80C0000}"/>
    <cellStyle name="Entrada 5 2 13" xfId="3375" xr:uid="{00000000-0005-0000-0000-0000A90C0000}"/>
    <cellStyle name="Entrada 5 2 13 2" xfId="3376" xr:uid="{00000000-0005-0000-0000-0000AA0C0000}"/>
    <cellStyle name="Entrada 5 2 14" xfId="3377" xr:uid="{00000000-0005-0000-0000-0000AB0C0000}"/>
    <cellStyle name="Entrada 5 2 14 2" xfId="3378" xr:uid="{00000000-0005-0000-0000-0000AC0C0000}"/>
    <cellStyle name="Entrada 5 2 15" xfId="3379" xr:uid="{00000000-0005-0000-0000-0000AD0C0000}"/>
    <cellStyle name="Entrada 5 2 2" xfId="3380" xr:uid="{00000000-0005-0000-0000-0000AE0C0000}"/>
    <cellStyle name="Entrada 5 2 2 2" xfId="3381" xr:uid="{00000000-0005-0000-0000-0000AF0C0000}"/>
    <cellStyle name="Entrada 5 2 3" xfId="3382" xr:uid="{00000000-0005-0000-0000-0000B00C0000}"/>
    <cellStyle name="Entrada 5 2 3 2" xfId="3383" xr:uid="{00000000-0005-0000-0000-0000B10C0000}"/>
    <cellStyle name="Entrada 5 2 4" xfId="3384" xr:uid="{00000000-0005-0000-0000-0000B20C0000}"/>
    <cellStyle name="Entrada 5 2 4 2" xfId="3385" xr:uid="{00000000-0005-0000-0000-0000B30C0000}"/>
    <cellStyle name="Entrada 5 2 5" xfId="3386" xr:uid="{00000000-0005-0000-0000-0000B40C0000}"/>
    <cellStyle name="Entrada 5 2 5 2" xfId="3387" xr:uid="{00000000-0005-0000-0000-0000B50C0000}"/>
    <cellStyle name="Entrada 5 2 6" xfId="3388" xr:uid="{00000000-0005-0000-0000-0000B60C0000}"/>
    <cellStyle name="Entrada 5 2 6 2" xfId="3389" xr:uid="{00000000-0005-0000-0000-0000B70C0000}"/>
    <cellStyle name="Entrada 5 2 7" xfId="3390" xr:uid="{00000000-0005-0000-0000-0000B80C0000}"/>
    <cellStyle name="Entrada 5 2 7 2" xfId="3391" xr:uid="{00000000-0005-0000-0000-0000B90C0000}"/>
    <cellStyle name="Entrada 5 2 8" xfId="3392" xr:uid="{00000000-0005-0000-0000-0000BA0C0000}"/>
    <cellStyle name="Entrada 5 2 8 2" xfId="3393" xr:uid="{00000000-0005-0000-0000-0000BB0C0000}"/>
    <cellStyle name="Entrada 5 2 9" xfId="3394" xr:uid="{00000000-0005-0000-0000-0000BC0C0000}"/>
    <cellStyle name="Entrada 5 2 9 2" xfId="3395" xr:uid="{00000000-0005-0000-0000-0000BD0C0000}"/>
    <cellStyle name="Entrada 5 3" xfId="3396" xr:uid="{00000000-0005-0000-0000-0000BE0C0000}"/>
    <cellStyle name="Entrada 5 3 2" xfId="3397" xr:uid="{00000000-0005-0000-0000-0000BF0C0000}"/>
    <cellStyle name="Entrada 5 3 2 2" xfId="3398" xr:uid="{00000000-0005-0000-0000-0000C00C0000}"/>
    <cellStyle name="Entrada 5 3 3" xfId="3399" xr:uid="{00000000-0005-0000-0000-0000C10C0000}"/>
    <cellStyle name="Entrada 5 3 3 2" xfId="3400" xr:uid="{00000000-0005-0000-0000-0000C20C0000}"/>
    <cellStyle name="Entrada 5 3 4" xfId="3401" xr:uid="{00000000-0005-0000-0000-0000C30C0000}"/>
    <cellStyle name="Entrada 5 4" xfId="3402" xr:uid="{00000000-0005-0000-0000-0000C40C0000}"/>
    <cellStyle name="Entrada 5 4 2" xfId="3403" xr:uid="{00000000-0005-0000-0000-0000C50C0000}"/>
    <cellStyle name="Entrada 5 5" xfId="3404" xr:uid="{00000000-0005-0000-0000-0000C60C0000}"/>
    <cellStyle name="Entrada 5 5 2" xfId="3405" xr:uid="{00000000-0005-0000-0000-0000C70C0000}"/>
    <cellStyle name="Entrada 5 6" xfId="3406" xr:uid="{00000000-0005-0000-0000-0000C80C0000}"/>
    <cellStyle name="Entrada 5 6 2" xfId="3407" xr:uid="{00000000-0005-0000-0000-0000C90C0000}"/>
    <cellStyle name="Entrada 5 7" xfId="3408" xr:uid="{00000000-0005-0000-0000-0000CA0C0000}"/>
    <cellStyle name="Entrada 5 7 2" xfId="3409" xr:uid="{00000000-0005-0000-0000-0000CB0C0000}"/>
    <cellStyle name="Entrada 5 8" xfId="3410" xr:uid="{00000000-0005-0000-0000-0000CC0C0000}"/>
    <cellStyle name="Entrada 5 8 2" xfId="3411" xr:uid="{00000000-0005-0000-0000-0000CD0C0000}"/>
    <cellStyle name="Entrada 5 9" xfId="3412" xr:uid="{00000000-0005-0000-0000-0000CE0C0000}"/>
    <cellStyle name="Entrada 5 9 2" xfId="3413" xr:uid="{00000000-0005-0000-0000-0000CF0C0000}"/>
    <cellStyle name="Entrada 6" xfId="3414" xr:uid="{00000000-0005-0000-0000-0000D00C0000}"/>
    <cellStyle name="Entrada 6 10" xfId="3415" xr:uid="{00000000-0005-0000-0000-0000D10C0000}"/>
    <cellStyle name="Entrada 6 10 2" xfId="3416" xr:uid="{00000000-0005-0000-0000-0000D20C0000}"/>
    <cellStyle name="Entrada 6 11" xfId="3417" xr:uid="{00000000-0005-0000-0000-0000D30C0000}"/>
    <cellStyle name="Entrada 6 11 2" xfId="3418" xr:uid="{00000000-0005-0000-0000-0000D40C0000}"/>
    <cellStyle name="Entrada 6 12" xfId="3419" xr:uid="{00000000-0005-0000-0000-0000D50C0000}"/>
    <cellStyle name="Entrada 6 12 2" xfId="3420" xr:uid="{00000000-0005-0000-0000-0000D60C0000}"/>
    <cellStyle name="Entrada 6 13" xfId="3421" xr:uid="{00000000-0005-0000-0000-0000D70C0000}"/>
    <cellStyle name="Entrada 6 13 2" xfId="3422" xr:uid="{00000000-0005-0000-0000-0000D80C0000}"/>
    <cellStyle name="Entrada 6 14" xfId="3423" xr:uid="{00000000-0005-0000-0000-0000D90C0000}"/>
    <cellStyle name="Entrada 6 14 2" xfId="3424" xr:uid="{00000000-0005-0000-0000-0000DA0C0000}"/>
    <cellStyle name="Entrada 6 15" xfId="3425" xr:uid="{00000000-0005-0000-0000-0000DB0C0000}"/>
    <cellStyle name="Entrada 6 15 2" xfId="3426" xr:uid="{00000000-0005-0000-0000-0000DC0C0000}"/>
    <cellStyle name="Entrada 6 16" xfId="3427" xr:uid="{00000000-0005-0000-0000-0000DD0C0000}"/>
    <cellStyle name="Entrada 6 16 2" xfId="3428" xr:uid="{00000000-0005-0000-0000-0000DE0C0000}"/>
    <cellStyle name="Entrada 6 17" xfId="3429" xr:uid="{00000000-0005-0000-0000-0000DF0C0000}"/>
    <cellStyle name="Entrada 6 2" xfId="3430" xr:uid="{00000000-0005-0000-0000-0000E00C0000}"/>
    <cellStyle name="Entrada 6 2 2" xfId="3431" xr:uid="{00000000-0005-0000-0000-0000E10C0000}"/>
    <cellStyle name="Entrada 6 2 2 2" xfId="3432" xr:uid="{00000000-0005-0000-0000-0000E20C0000}"/>
    <cellStyle name="Entrada 6 2 3" xfId="3433" xr:uid="{00000000-0005-0000-0000-0000E30C0000}"/>
    <cellStyle name="Entrada 6 2 3 2" xfId="3434" xr:uid="{00000000-0005-0000-0000-0000E40C0000}"/>
    <cellStyle name="Entrada 6 2 4" xfId="3435" xr:uid="{00000000-0005-0000-0000-0000E50C0000}"/>
    <cellStyle name="Entrada 6 3" xfId="3436" xr:uid="{00000000-0005-0000-0000-0000E60C0000}"/>
    <cellStyle name="Entrada 6 3 2" xfId="3437" xr:uid="{00000000-0005-0000-0000-0000E70C0000}"/>
    <cellStyle name="Entrada 6 3 2 2" xfId="3438" xr:uid="{00000000-0005-0000-0000-0000E80C0000}"/>
    <cellStyle name="Entrada 6 3 3" xfId="3439" xr:uid="{00000000-0005-0000-0000-0000E90C0000}"/>
    <cellStyle name="Entrada 6 3 3 2" xfId="3440" xr:uid="{00000000-0005-0000-0000-0000EA0C0000}"/>
    <cellStyle name="Entrada 6 3 4" xfId="3441" xr:uid="{00000000-0005-0000-0000-0000EB0C0000}"/>
    <cellStyle name="Entrada 6 4" xfId="3442" xr:uid="{00000000-0005-0000-0000-0000EC0C0000}"/>
    <cellStyle name="Entrada 6 4 2" xfId="3443" xr:uid="{00000000-0005-0000-0000-0000ED0C0000}"/>
    <cellStyle name="Entrada 6 5" xfId="3444" xr:uid="{00000000-0005-0000-0000-0000EE0C0000}"/>
    <cellStyle name="Entrada 6 5 2" xfId="3445" xr:uid="{00000000-0005-0000-0000-0000EF0C0000}"/>
    <cellStyle name="Entrada 6 6" xfId="3446" xr:uid="{00000000-0005-0000-0000-0000F00C0000}"/>
    <cellStyle name="Entrada 6 6 2" xfId="3447" xr:uid="{00000000-0005-0000-0000-0000F10C0000}"/>
    <cellStyle name="Entrada 6 7" xfId="3448" xr:uid="{00000000-0005-0000-0000-0000F20C0000}"/>
    <cellStyle name="Entrada 6 7 2" xfId="3449" xr:uid="{00000000-0005-0000-0000-0000F30C0000}"/>
    <cellStyle name="Entrada 6 8" xfId="3450" xr:uid="{00000000-0005-0000-0000-0000F40C0000}"/>
    <cellStyle name="Entrada 6 8 2" xfId="3451" xr:uid="{00000000-0005-0000-0000-0000F50C0000}"/>
    <cellStyle name="Entrada 6 9" xfId="3452" xr:uid="{00000000-0005-0000-0000-0000F60C0000}"/>
    <cellStyle name="Entrada 6 9 2" xfId="3453" xr:uid="{00000000-0005-0000-0000-0000F70C0000}"/>
    <cellStyle name="Entrada 7" xfId="3454" xr:uid="{00000000-0005-0000-0000-0000F80C0000}"/>
    <cellStyle name="Entrada 7 10" xfId="3455" xr:uid="{00000000-0005-0000-0000-0000F90C0000}"/>
    <cellStyle name="Entrada 7 10 2" xfId="3456" xr:uid="{00000000-0005-0000-0000-0000FA0C0000}"/>
    <cellStyle name="Entrada 7 11" xfId="3457" xr:uid="{00000000-0005-0000-0000-0000FB0C0000}"/>
    <cellStyle name="Entrada 7 11 2" xfId="3458" xr:uid="{00000000-0005-0000-0000-0000FC0C0000}"/>
    <cellStyle name="Entrada 7 12" xfId="3459" xr:uid="{00000000-0005-0000-0000-0000FD0C0000}"/>
    <cellStyle name="Entrada 7 12 2" xfId="3460" xr:uid="{00000000-0005-0000-0000-0000FE0C0000}"/>
    <cellStyle name="Entrada 7 13" xfId="3461" xr:uid="{00000000-0005-0000-0000-0000FF0C0000}"/>
    <cellStyle name="Entrada 7 13 2" xfId="3462" xr:uid="{00000000-0005-0000-0000-0000000D0000}"/>
    <cellStyle name="Entrada 7 14" xfId="3463" xr:uid="{00000000-0005-0000-0000-0000010D0000}"/>
    <cellStyle name="Entrada 7 14 2" xfId="3464" xr:uid="{00000000-0005-0000-0000-0000020D0000}"/>
    <cellStyle name="Entrada 7 15" xfId="3465" xr:uid="{00000000-0005-0000-0000-0000030D0000}"/>
    <cellStyle name="Entrada 7 15 2" xfId="3466" xr:uid="{00000000-0005-0000-0000-0000040D0000}"/>
    <cellStyle name="Entrada 7 16" xfId="3467" xr:uid="{00000000-0005-0000-0000-0000050D0000}"/>
    <cellStyle name="Entrada 7 16 2" xfId="3468" xr:uid="{00000000-0005-0000-0000-0000060D0000}"/>
    <cellStyle name="Entrada 7 2" xfId="3469" xr:uid="{00000000-0005-0000-0000-0000070D0000}"/>
    <cellStyle name="Entrada 7 2 2" xfId="3470" xr:uid="{00000000-0005-0000-0000-0000080D0000}"/>
    <cellStyle name="Entrada 7 2 2 2" xfId="3471" xr:uid="{00000000-0005-0000-0000-0000090D0000}"/>
    <cellStyle name="Entrada 7 2 3" xfId="3472" xr:uid="{00000000-0005-0000-0000-00000A0D0000}"/>
    <cellStyle name="Entrada 7 2 3 2" xfId="3473" xr:uid="{00000000-0005-0000-0000-00000B0D0000}"/>
    <cellStyle name="Entrada 7 2 4" xfId="3474" xr:uid="{00000000-0005-0000-0000-00000C0D0000}"/>
    <cellStyle name="Entrada 7 3" xfId="3475" xr:uid="{00000000-0005-0000-0000-00000D0D0000}"/>
    <cellStyle name="Entrada 7 3 2" xfId="3476" xr:uid="{00000000-0005-0000-0000-00000E0D0000}"/>
    <cellStyle name="Entrada 7 3 2 2" xfId="3477" xr:uid="{00000000-0005-0000-0000-00000F0D0000}"/>
    <cellStyle name="Entrada 7 3 3" xfId="3478" xr:uid="{00000000-0005-0000-0000-0000100D0000}"/>
    <cellStyle name="Entrada 7 3 3 2" xfId="3479" xr:uid="{00000000-0005-0000-0000-0000110D0000}"/>
    <cellStyle name="Entrada 7 3 4" xfId="3480" xr:uid="{00000000-0005-0000-0000-0000120D0000}"/>
    <cellStyle name="Entrada 7 4" xfId="3481" xr:uid="{00000000-0005-0000-0000-0000130D0000}"/>
    <cellStyle name="Entrada 7 4 2" xfId="3482" xr:uid="{00000000-0005-0000-0000-0000140D0000}"/>
    <cellStyle name="Entrada 7 5" xfId="3483" xr:uid="{00000000-0005-0000-0000-0000150D0000}"/>
    <cellStyle name="Entrada 7 5 2" xfId="3484" xr:uid="{00000000-0005-0000-0000-0000160D0000}"/>
    <cellStyle name="Entrada 7 6" xfId="3485" xr:uid="{00000000-0005-0000-0000-0000170D0000}"/>
    <cellStyle name="Entrada 7 6 2" xfId="3486" xr:uid="{00000000-0005-0000-0000-0000180D0000}"/>
    <cellStyle name="Entrada 7 7" xfId="3487" xr:uid="{00000000-0005-0000-0000-0000190D0000}"/>
    <cellStyle name="Entrada 7 7 2" xfId="3488" xr:uid="{00000000-0005-0000-0000-00001A0D0000}"/>
    <cellStyle name="Entrada 7 8" xfId="3489" xr:uid="{00000000-0005-0000-0000-00001B0D0000}"/>
    <cellStyle name="Entrada 7 8 2" xfId="3490" xr:uid="{00000000-0005-0000-0000-00001C0D0000}"/>
    <cellStyle name="Entrada 7 9" xfId="3491" xr:uid="{00000000-0005-0000-0000-00001D0D0000}"/>
    <cellStyle name="Entrada 7 9 2" xfId="3492" xr:uid="{00000000-0005-0000-0000-00001E0D0000}"/>
    <cellStyle name="Entrada 8" xfId="3493" xr:uid="{00000000-0005-0000-0000-00001F0D0000}"/>
    <cellStyle name="Entrada 8 2" xfId="3494" xr:uid="{00000000-0005-0000-0000-0000200D0000}"/>
    <cellStyle name="Entrada 8 2 2" xfId="3495" xr:uid="{00000000-0005-0000-0000-0000210D0000}"/>
    <cellStyle name="Entrada 8 3" xfId="3496" xr:uid="{00000000-0005-0000-0000-0000220D0000}"/>
    <cellStyle name="Entrada 8 3 2" xfId="3497" xr:uid="{00000000-0005-0000-0000-0000230D0000}"/>
    <cellStyle name="Entrada 8 4" xfId="3498" xr:uid="{00000000-0005-0000-0000-0000240D0000}"/>
    <cellStyle name="Entrada 9" xfId="3499" xr:uid="{00000000-0005-0000-0000-0000250D0000}"/>
    <cellStyle name="Entrada 9 2" xfId="3500" xr:uid="{00000000-0005-0000-0000-0000260D0000}"/>
    <cellStyle name="Entrada 9 2 2" xfId="3501" xr:uid="{00000000-0005-0000-0000-0000270D0000}"/>
    <cellStyle name="Entrada 9 3" xfId="3502" xr:uid="{00000000-0005-0000-0000-0000280D0000}"/>
    <cellStyle name="Entrada 9 3 2" xfId="3503" xr:uid="{00000000-0005-0000-0000-0000290D0000}"/>
    <cellStyle name="Entrada 9 4" xfId="3504" xr:uid="{00000000-0005-0000-0000-00002A0D0000}"/>
    <cellStyle name="Epson" xfId="3505" xr:uid="{00000000-0005-0000-0000-00002B0D0000}"/>
    <cellStyle name="Epson12cpi" xfId="3506" xr:uid="{00000000-0005-0000-0000-00002C0D0000}"/>
    <cellStyle name="Epson17cpi" xfId="3507" xr:uid="{00000000-0005-0000-0000-00002D0D0000}"/>
    <cellStyle name="Euro" xfId="3508" xr:uid="{00000000-0005-0000-0000-00002E0D0000}"/>
    <cellStyle name="Euro 10" xfId="3509" xr:uid="{00000000-0005-0000-0000-00002F0D0000}"/>
    <cellStyle name="Euro 11" xfId="3510" xr:uid="{00000000-0005-0000-0000-0000300D0000}"/>
    <cellStyle name="Euro 12" xfId="3511" xr:uid="{00000000-0005-0000-0000-0000310D0000}"/>
    <cellStyle name="Euro 13" xfId="3512" xr:uid="{00000000-0005-0000-0000-0000320D0000}"/>
    <cellStyle name="Euro 14" xfId="3513" xr:uid="{00000000-0005-0000-0000-0000330D0000}"/>
    <cellStyle name="Euro 15" xfId="3514" xr:uid="{00000000-0005-0000-0000-0000340D0000}"/>
    <cellStyle name="Euro 16" xfId="3515" xr:uid="{00000000-0005-0000-0000-0000350D0000}"/>
    <cellStyle name="Euro 17" xfId="3516" xr:uid="{00000000-0005-0000-0000-0000360D0000}"/>
    <cellStyle name="Euro 18" xfId="3517" xr:uid="{00000000-0005-0000-0000-0000370D0000}"/>
    <cellStyle name="Euro 19" xfId="3518" xr:uid="{00000000-0005-0000-0000-0000380D0000}"/>
    <cellStyle name="Euro 2" xfId="3519" xr:uid="{00000000-0005-0000-0000-0000390D0000}"/>
    <cellStyle name="Euro 20" xfId="3520" xr:uid="{00000000-0005-0000-0000-00003A0D0000}"/>
    <cellStyle name="Euro 21" xfId="3521" xr:uid="{00000000-0005-0000-0000-00003B0D0000}"/>
    <cellStyle name="Euro 22" xfId="3522" xr:uid="{00000000-0005-0000-0000-00003C0D0000}"/>
    <cellStyle name="Euro 23" xfId="3523" xr:uid="{00000000-0005-0000-0000-00003D0D0000}"/>
    <cellStyle name="Euro 24" xfId="3524" xr:uid="{00000000-0005-0000-0000-00003E0D0000}"/>
    <cellStyle name="Euro 3" xfId="3525" xr:uid="{00000000-0005-0000-0000-00003F0D0000}"/>
    <cellStyle name="Euro 4" xfId="3526" xr:uid="{00000000-0005-0000-0000-0000400D0000}"/>
    <cellStyle name="Euro 5" xfId="3527" xr:uid="{00000000-0005-0000-0000-0000410D0000}"/>
    <cellStyle name="Euro 6" xfId="3528" xr:uid="{00000000-0005-0000-0000-0000420D0000}"/>
    <cellStyle name="Euro 7" xfId="3529" xr:uid="{00000000-0005-0000-0000-0000430D0000}"/>
    <cellStyle name="Euro 8" xfId="3530" xr:uid="{00000000-0005-0000-0000-0000440D0000}"/>
    <cellStyle name="Euro 9" xfId="3531" xr:uid="{00000000-0005-0000-0000-0000450D0000}"/>
    <cellStyle name="Explanatory Text" xfId="23" builtinId="53" customBuiltin="1"/>
    <cellStyle name="Explanatory Text 2" xfId="89" xr:uid="{00000000-0005-0000-0000-0000470D0000}"/>
    <cellStyle name="Explanatory Text 2 10" xfId="3532" xr:uid="{00000000-0005-0000-0000-0000480D0000}"/>
    <cellStyle name="Explanatory Text 2 11" xfId="3533" xr:uid="{00000000-0005-0000-0000-0000490D0000}"/>
    <cellStyle name="Explanatory Text 2 12" xfId="3534" xr:uid="{00000000-0005-0000-0000-00004A0D0000}"/>
    <cellStyle name="Explanatory Text 2 13" xfId="3535" xr:uid="{00000000-0005-0000-0000-00004B0D0000}"/>
    <cellStyle name="Explanatory Text 2 14" xfId="3536" xr:uid="{00000000-0005-0000-0000-00004C0D0000}"/>
    <cellStyle name="Explanatory Text 2 15" xfId="3537" xr:uid="{00000000-0005-0000-0000-00004D0D0000}"/>
    <cellStyle name="Explanatory Text 2 16" xfId="3538" xr:uid="{00000000-0005-0000-0000-00004E0D0000}"/>
    <cellStyle name="Explanatory Text 2 17" xfId="3539" xr:uid="{00000000-0005-0000-0000-00004F0D0000}"/>
    <cellStyle name="Explanatory Text 2 2" xfId="3540" xr:uid="{00000000-0005-0000-0000-0000500D0000}"/>
    <cellStyle name="Explanatory Text 2 2 2" xfId="3541" xr:uid="{00000000-0005-0000-0000-0000510D0000}"/>
    <cellStyle name="Explanatory Text 2 2 2 2" xfId="3542" xr:uid="{00000000-0005-0000-0000-0000520D0000}"/>
    <cellStyle name="Explanatory Text 2 2 2 3" xfId="3543" xr:uid="{00000000-0005-0000-0000-0000530D0000}"/>
    <cellStyle name="Explanatory Text 2 2 3" xfId="3544" xr:uid="{00000000-0005-0000-0000-0000540D0000}"/>
    <cellStyle name="Explanatory Text 2 2 4" xfId="3545" xr:uid="{00000000-0005-0000-0000-0000550D0000}"/>
    <cellStyle name="Explanatory Text 2 3" xfId="3546" xr:uid="{00000000-0005-0000-0000-0000560D0000}"/>
    <cellStyle name="Explanatory Text 2 4" xfId="3547" xr:uid="{00000000-0005-0000-0000-0000570D0000}"/>
    <cellStyle name="Explanatory Text 2 5" xfId="3548" xr:uid="{00000000-0005-0000-0000-0000580D0000}"/>
    <cellStyle name="Explanatory Text 2 6" xfId="3549" xr:uid="{00000000-0005-0000-0000-0000590D0000}"/>
    <cellStyle name="Explanatory Text 2 7" xfId="3550" xr:uid="{00000000-0005-0000-0000-00005A0D0000}"/>
    <cellStyle name="Explanatory Text 2 8" xfId="3551" xr:uid="{00000000-0005-0000-0000-00005B0D0000}"/>
    <cellStyle name="Explanatory Text 2 9" xfId="3552" xr:uid="{00000000-0005-0000-0000-00005C0D0000}"/>
    <cellStyle name="Explanatory Text 3" xfId="3553" xr:uid="{00000000-0005-0000-0000-00005D0D0000}"/>
    <cellStyle name="Explanatory Text 3 2" xfId="3554" xr:uid="{00000000-0005-0000-0000-00005E0D0000}"/>
    <cellStyle name="Explanatory Text 3 3" xfId="3555" xr:uid="{00000000-0005-0000-0000-00005F0D0000}"/>
    <cellStyle name="Explanatory Text 4" xfId="3556" xr:uid="{00000000-0005-0000-0000-0000600D0000}"/>
    <cellStyle name="Factor" xfId="3557" xr:uid="{00000000-0005-0000-0000-0000610D0000}"/>
    <cellStyle name="Factor 10" xfId="3558" xr:uid="{00000000-0005-0000-0000-0000620D0000}"/>
    <cellStyle name="Factor 11" xfId="3559" xr:uid="{00000000-0005-0000-0000-0000630D0000}"/>
    <cellStyle name="Factor 12" xfId="3560" xr:uid="{00000000-0005-0000-0000-0000640D0000}"/>
    <cellStyle name="Factor 13" xfId="3561" xr:uid="{00000000-0005-0000-0000-0000650D0000}"/>
    <cellStyle name="Factor 14" xfId="3562" xr:uid="{00000000-0005-0000-0000-0000660D0000}"/>
    <cellStyle name="Factor 15" xfId="3563" xr:uid="{00000000-0005-0000-0000-0000670D0000}"/>
    <cellStyle name="Factor 16" xfId="3564" xr:uid="{00000000-0005-0000-0000-0000680D0000}"/>
    <cellStyle name="Factor 17" xfId="3565" xr:uid="{00000000-0005-0000-0000-0000690D0000}"/>
    <cellStyle name="Factor 18" xfId="3566" xr:uid="{00000000-0005-0000-0000-00006A0D0000}"/>
    <cellStyle name="Factor 2" xfId="3567" xr:uid="{00000000-0005-0000-0000-00006B0D0000}"/>
    <cellStyle name="Factor 3" xfId="3568" xr:uid="{00000000-0005-0000-0000-00006C0D0000}"/>
    <cellStyle name="Factor 4" xfId="3569" xr:uid="{00000000-0005-0000-0000-00006D0D0000}"/>
    <cellStyle name="Factor 5" xfId="3570" xr:uid="{00000000-0005-0000-0000-00006E0D0000}"/>
    <cellStyle name="Factor 6" xfId="3571" xr:uid="{00000000-0005-0000-0000-00006F0D0000}"/>
    <cellStyle name="Factor 7" xfId="3572" xr:uid="{00000000-0005-0000-0000-0000700D0000}"/>
    <cellStyle name="Factor 8" xfId="3573" xr:uid="{00000000-0005-0000-0000-0000710D0000}"/>
    <cellStyle name="Factor 9" xfId="3574" xr:uid="{00000000-0005-0000-0000-0000720D0000}"/>
    <cellStyle name="Fillin" xfId="3575" xr:uid="{00000000-0005-0000-0000-0000730D0000}"/>
    <cellStyle name="Fixed" xfId="149" xr:uid="{00000000-0005-0000-0000-0000740D0000}"/>
    <cellStyle name="Footnote" xfId="3576" xr:uid="{00000000-0005-0000-0000-0000750D0000}"/>
    <cellStyle name="Good" xfId="14" builtinId="26" customBuiltin="1"/>
    <cellStyle name="Good 2" xfId="90" xr:uid="{00000000-0005-0000-0000-0000770D0000}"/>
    <cellStyle name="Good 2 10" xfId="3577" xr:uid="{00000000-0005-0000-0000-0000780D0000}"/>
    <cellStyle name="Good 2 11" xfId="3578" xr:uid="{00000000-0005-0000-0000-0000790D0000}"/>
    <cellStyle name="Good 2 12" xfId="3579" xr:uid="{00000000-0005-0000-0000-00007A0D0000}"/>
    <cellStyle name="Good 2 13" xfId="3580" xr:uid="{00000000-0005-0000-0000-00007B0D0000}"/>
    <cellStyle name="Good 2 14" xfId="3581" xr:uid="{00000000-0005-0000-0000-00007C0D0000}"/>
    <cellStyle name="Good 2 15" xfId="3582" xr:uid="{00000000-0005-0000-0000-00007D0D0000}"/>
    <cellStyle name="Good 2 16" xfId="3583" xr:uid="{00000000-0005-0000-0000-00007E0D0000}"/>
    <cellStyle name="Good 2 17" xfId="3584" xr:uid="{00000000-0005-0000-0000-00007F0D0000}"/>
    <cellStyle name="Good 2 2" xfId="3585" xr:uid="{00000000-0005-0000-0000-0000800D0000}"/>
    <cellStyle name="Good 2 2 2" xfId="3586" xr:uid="{00000000-0005-0000-0000-0000810D0000}"/>
    <cellStyle name="Good 2 2 2 2" xfId="3587" xr:uid="{00000000-0005-0000-0000-0000820D0000}"/>
    <cellStyle name="Good 2 2 2 3" xfId="3588" xr:uid="{00000000-0005-0000-0000-0000830D0000}"/>
    <cellStyle name="Good 2 2 3" xfId="3589" xr:uid="{00000000-0005-0000-0000-0000840D0000}"/>
    <cellStyle name="Good 2 2 4" xfId="3590" xr:uid="{00000000-0005-0000-0000-0000850D0000}"/>
    <cellStyle name="Good 2 3" xfId="3591" xr:uid="{00000000-0005-0000-0000-0000860D0000}"/>
    <cellStyle name="Good 2 4" xfId="3592" xr:uid="{00000000-0005-0000-0000-0000870D0000}"/>
    <cellStyle name="Good 2 5" xfId="3593" xr:uid="{00000000-0005-0000-0000-0000880D0000}"/>
    <cellStyle name="Good 2 6" xfId="3594" xr:uid="{00000000-0005-0000-0000-0000890D0000}"/>
    <cellStyle name="Good 2 7" xfId="3595" xr:uid="{00000000-0005-0000-0000-00008A0D0000}"/>
    <cellStyle name="Good 2 8" xfId="3596" xr:uid="{00000000-0005-0000-0000-00008B0D0000}"/>
    <cellStyle name="Good 2 9" xfId="3597" xr:uid="{00000000-0005-0000-0000-00008C0D0000}"/>
    <cellStyle name="Good 3" xfId="3598" xr:uid="{00000000-0005-0000-0000-00008D0D0000}"/>
    <cellStyle name="Good 3 2" xfId="3599" xr:uid="{00000000-0005-0000-0000-00008E0D0000}"/>
    <cellStyle name="Good 3 3" xfId="3600" xr:uid="{00000000-0005-0000-0000-00008F0D0000}"/>
    <cellStyle name="Good 4" xfId="3601" xr:uid="{00000000-0005-0000-0000-0000900D0000}"/>
    <cellStyle name="Green Heading" xfId="3602" xr:uid="{00000000-0005-0000-0000-0000910D0000}"/>
    <cellStyle name="Green Subheading2" xfId="3603" xr:uid="{00000000-0005-0000-0000-0000920D0000}"/>
    <cellStyle name="Hard Percent" xfId="3604" xr:uid="{00000000-0005-0000-0000-0000930D0000}"/>
    <cellStyle name="Header" xfId="3605" xr:uid="{00000000-0005-0000-0000-0000940D0000}"/>
    <cellStyle name="Header 2" xfId="3606" xr:uid="{00000000-0005-0000-0000-0000950D0000}"/>
    <cellStyle name="Header 2 2" xfId="3607" xr:uid="{00000000-0005-0000-0000-0000960D0000}"/>
    <cellStyle name="Header 2 3" xfId="3608" xr:uid="{00000000-0005-0000-0000-0000970D0000}"/>
    <cellStyle name="Header 3" xfId="3609" xr:uid="{00000000-0005-0000-0000-0000980D0000}"/>
    <cellStyle name="Heading" xfId="3610" xr:uid="{00000000-0005-0000-0000-0000990D0000}"/>
    <cellStyle name="Heading 1" xfId="10" builtinId="16" customBuiltin="1"/>
    <cellStyle name="Heading 1 2" xfId="91" xr:uid="{00000000-0005-0000-0000-00009B0D0000}"/>
    <cellStyle name="Heading 1 2 10" xfId="3611" xr:uid="{00000000-0005-0000-0000-00009C0D0000}"/>
    <cellStyle name="Heading 1 2 11" xfId="3612" xr:uid="{00000000-0005-0000-0000-00009D0D0000}"/>
    <cellStyle name="Heading 1 2 12" xfId="3613" xr:uid="{00000000-0005-0000-0000-00009E0D0000}"/>
    <cellStyle name="Heading 1 2 13" xfId="3614" xr:uid="{00000000-0005-0000-0000-00009F0D0000}"/>
    <cellStyle name="Heading 1 2 14" xfId="3615" xr:uid="{00000000-0005-0000-0000-0000A00D0000}"/>
    <cellStyle name="Heading 1 2 15" xfId="3616" xr:uid="{00000000-0005-0000-0000-0000A10D0000}"/>
    <cellStyle name="Heading 1 2 16" xfId="3617" xr:uid="{00000000-0005-0000-0000-0000A20D0000}"/>
    <cellStyle name="Heading 1 2 17" xfId="3618" xr:uid="{00000000-0005-0000-0000-0000A30D0000}"/>
    <cellStyle name="Heading 1 2 2" xfId="3619" xr:uid="{00000000-0005-0000-0000-0000A40D0000}"/>
    <cellStyle name="Heading 1 2 2 2" xfId="3620" xr:uid="{00000000-0005-0000-0000-0000A50D0000}"/>
    <cellStyle name="Heading 1 2 2 2 2" xfId="3621" xr:uid="{00000000-0005-0000-0000-0000A60D0000}"/>
    <cellStyle name="Heading 1 2 2 2 3" xfId="3622" xr:uid="{00000000-0005-0000-0000-0000A70D0000}"/>
    <cellStyle name="Heading 1 2 2 3" xfId="3623" xr:uid="{00000000-0005-0000-0000-0000A80D0000}"/>
    <cellStyle name="Heading 1 2 2 4" xfId="3624" xr:uid="{00000000-0005-0000-0000-0000A90D0000}"/>
    <cellStyle name="Heading 1 2 3" xfId="3625" xr:uid="{00000000-0005-0000-0000-0000AA0D0000}"/>
    <cellStyle name="Heading 1 2 4" xfId="3626" xr:uid="{00000000-0005-0000-0000-0000AB0D0000}"/>
    <cellStyle name="Heading 1 2 5" xfId="3627" xr:uid="{00000000-0005-0000-0000-0000AC0D0000}"/>
    <cellStyle name="Heading 1 2 6" xfId="3628" xr:uid="{00000000-0005-0000-0000-0000AD0D0000}"/>
    <cellStyle name="Heading 1 2 7" xfId="3629" xr:uid="{00000000-0005-0000-0000-0000AE0D0000}"/>
    <cellStyle name="Heading 1 2 8" xfId="3630" xr:uid="{00000000-0005-0000-0000-0000AF0D0000}"/>
    <cellStyle name="Heading 1 2 9" xfId="3631" xr:uid="{00000000-0005-0000-0000-0000B00D0000}"/>
    <cellStyle name="Heading 1 3" xfId="3632" xr:uid="{00000000-0005-0000-0000-0000B10D0000}"/>
    <cellStyle name="Heading 1 3 2" xfId="3633" xr:uid="{00000000-0005-0000-0000-0000B20D0000}"/>
    <cellStyle name="Heading 1 3 3" xfId="3634" xr:uid="{00000000-0005-0000-0000-0000B30D0000}"/>
    <cellStyle name="Heading 1 4" xfId="3635" xr:uid="{00000000-0005-0000-0000-0000B40D0000}"/>
    <cellStyle name="Heading 2" xfId="11" builtinId="17" customBuiltin="1"/>
    <cellStyle name="Heading 2 2" xfId="92" xr:uid="{00000000-0005-0000-0000-0000B60D0000}"/>
    <cellStyle name="Heading 2 2 10" xfId="3636" xr:uid="{00000000-0005-0000-0000-0000B70D0000}"/>
    <cellStyle name="Heading 2 2 11" xfId="3637" xr:uid="{00000000-0005-0000-0000-0000B80D0000}"/>
    <cellStyle name="Heading 2 2 12" xfId="3638" xr:uid="{00000000-0005-0000-0000-0000B90D0000}"/>
    <cellStyle name="Heading 2 2 13" xfId="3639" xr:uid="{00000000-0005-0000-0000-0000BA0D0000}"/>
    <cellStyle name="Heading 2 2 14" xfId="3640" xr:uid="{00000000-0005-0000-0000-0000BB0D0000}"/>
    <cellStyle name="Heading 2 2 15" xfId="3641" xr:uid="{00000000-0005-0000-0000-0000BC0D0000}"/>
    <cellStyle name="Heading 2 2 16" xfId="3642" xr:uid="{00000000-0005-0000-0000-0000BD0D0000}"/>
    <cellStyle name="Heading 2 2 17" xfId="3643" xr:uid="{00000000-0005-0000-0000-0000BE0D0000}"/>
    <cellStyle name="Heading 2 2 2" xfId="3644" xr:uid="{00000000-0005-0000-0000-0000BF0D0000}"/>
    <cellStyle name="Heading 2 2 2 2" xfId="3645" xr:uid="{00000000-0005-0000-0000-0000C00D0000}"/>
    <cellStyle name="Heading 2 2 2 2 2" xfId="3646" xr:uid="{00000000-0005-0000-0000-0000C10D0000}"/>
    <cellStyle name="Heading 2 2 2 2 3" xfId="3647" xr:uid="{00000000-0005-0000-0000-0000C20D0000}"/>
    <cellStyle name="Heading 2 2 2 3" xfId="3648" xr:uid="{00000000-0005-0000-0000-0000C30D0000}"/>
    <cellStyle name="Heading 2 2 2 4" xfId="3649" xr:uid="{00000000-0005-0000-0000-0000C40D0000}"/>
    <cellStyle name="Heading 2 2 3" xfId="3650" xr:uid="{00000000-0005-0000-0000-0000C50D0000}"/>
    <cellStyle name="Heading 2 2 4" xfId="3651" xr:uid="{00000000-0005-0000-0000-0000C60D0000}"/>
    <cellStyle name="Heading 2 2 5" xfId="3652" xr:uid="{00000000-0005-0000-0000-0000C70D0000}"/>
    <cellStyle name="Heading 2 2 6" xfId="3653" xr:uid="{00000000-0005-0000-0000-0000C80D0000}"/>
    <cellStyle name="Heading 2 2 7" xfId="3654" xr:uid="{00000000-0005-0000-0000-0000C90D0000}"/>
    <cellStyle name="Heading 2 2 8" xfId="3655" xr:uid="{00000000-0005-0000-0000-0000CA0D0000}"/>
    <cellStyle name="Heading 2 2 9" xfId="3656" xr:uid="{00000000-0005-0000-0000-0000CB0D0000}"/>
    <cellStyle name="Heading 2 3" xfId="3657" xr:uid="{00000000-0005-0000-0000-0000CC0D0000}"/>
    <cellStyle name="Heading 2 3 2" xfId="3658" xr:uid="{00000000-0005-0000-0000-0000CD0D0000}"/>
    <cellStyle name="Heading 2 3 3" xfId="3659" xr:uid="{00000000-0005-0000-0000-0000CE0D0000}"/>
    <cellStyle name="Heading 2 4" xfId="3660" xr:uid="{00000000-0005-0000-0000-0000CF0D0000}"/>
    <cellStyle name="Heading 3" xfId="12" builtinId="18" customBuiltin="1"/>
    <cellStyle name="Heading 3 2" xfId="93" xr:uid="{00000000-0005-0000-0000-0000D10D0000}"/>
    <cellStyle name="Heading 3 2 10" xfId="3661" xr:uid="{00000000-0005-0000-0000-0000D20D0000}"/>
    <cellStyle name="Heading 3 2 11" xfId="3662" xr:uid="{00000000-0005-0000-0000-0000D30D0000}"/>
    <cellStyle name="Heading 3 2 12" xfId="3663" xr:uid="{00000000-0005-0000-0000-0000D40D0000}"/>
    <cellStyle name="Heading 3 2 13" xfId="3664" xr:uid="{00000000-0005-0000-0000-0000D50D0000}"/>
    <cellStyle name="Heading 3 2 14" xfId="3665" xr:uid="{00000000-0005-0000-0000-0000D60D0000}"/>
    <cellStyle name="Heading 3 2 15" xfId="3666" xr:uid="{00000000-0005-0000-0000-0000D70D0000}"/>
    <cellStyle name="Heading 3 2 16" xfId="3667" xr:uid="{00000000-0005-0000-0000-0000D80D0000}"/>
    <cellStyle name="Heading 3 2 17" xfId="3668" xr:uid="{00000000-0005-0000-0000-0000D90D0000}"/>
    <cellStyle name="Heading 3 2 2" xfId="3669" xr:uid="{00000000-0005-0000-0000-0000DA0D0000}"/>
    <cellStyle name="Heading 3 2 2 2" xfId="3670" xr:uid="{00000000-0005-0000-0000-0000DB0D0000}"/>
    <cellStyle name="Heading 3 2 2 2 2" xfId="3671" xr:uid="{00000000-0005-0000-0000-0000DC0D0000}"/>
    <cellStyle name="Heading 3 2 2 2 3" xfId="3672" xr:uid="{00000000-0005-0000-0000-0000DD0D0000}"/>
    <cellStyle name="Heading 3 2 2 3" xfId="3673" xr:uid="{00000000-0005-0000-0000-0000DE0D0000}"/>
    <cellStyle name="Heading 3 2 2 4" xfId="3674" xr:uid="{00000000-0005-0000-0000-0000DF0D0000}"/>
    <cellStyle name="Heading 3 2 3" xfId="3675" xr:uid="{00000000-0005-0000-0000-0000E00D0000}"/>
    <cellStyle name="Heading 3 2 4" xfId="3676" xr:uid="{00000000-0005-0000-0000-0000E10D0000}"/>
    <cellStyle name="Heading 3 2 5" xfId="3677" xr:uid="{00000000-0005-0000-0000-0000E20D0000}"/>
    <cellStyle name="Heading 3 2 6" xfId="3678" xr:uid="{00000000-0005-0000-0000-0000E30D0000}"/>
    <cellStyle name="Heading 3 2 7" xfId="3679" xr:uid="{00000000-0005-0000-0000-0000E40D0000}"/>
    <cellStyle name="Heading 3 2 8" xfId="3680" xr:uid="{00000000-0005-0000-0000-0000E50D0000}"/>
    <cellStyle name="Heading 3 2 9" xfId="3681" xr:uid="{00000000-0005-0000-0000-0000E60D0000}"/>
    <cellStyle name="Heading 3 3" xfId="3682" xr:uid="{00000000-0005-0000-0000-0000E70D0000}"/>
    <cellStyle name="Heading 3 3 2" xfId="3683" xr:uid="{00000000-0005-0000-0000-0000E80D0000}"/>
    <cellStyle name="Heading 3 3 3" xfId="3684" xr:uid="{00000000-0005-0000-0000-0000E90D0000}"/>
    <cellStyle name="Heading 3 4" xfId="3685" xr:uid="{00000000-0005-0000-0000-0000EA0D0000}"/>
    <cellStyle name="Heading 4" xfId="13" builtinId="19" customBuiltin="1"/>
    <cellStyle name="Heading 4 2" xfId="94" xr:uid="{00000000-0005-0000-0000-0000EC0D0000}"/>
    <cellStyle name="Heading 4 2 10" xfId="3686" xr:uid="{00000000-0005-0000-0000-0000ED0D0000}"/>
    <cellStyle name="Heading 4 2 11" xfId="3687" xr:uid="{00000000-0005-0000-0000-0000EE0D0000}"/>
    <cellStyle name="Heading 4 2 12" xfId="3688" xr:uid="{00000000-0005-0000-0000-0000EF0D0000}"/>
    <cellStyle name="Heading 4 2 13" xfId="3689" xr:uid="{00000000-0005-0000-0000-0000F00D0000}"/>
    <cellStyle name="Heading 4 2 14" xfId="3690" xr:uid="{00000000-0005-0000-0000-0000F10D0000}"/>
    <cellStyle name="Heading 4 2 15" xfId="3691" xr:uid="{00000000-0005-0000-0000-0000F20D0000}"/>
    <cellStyle name="Heading 4 2 16" xfId="3692" xr:uid="{00000000-0005-0000-0000-0000F30D0000}"/>
    <cellStyle name="Heading 4 2 17" xfId="3693" xr:uid="{00000000-0005-0000-0000-0000F40D0000}"/>
    <cellStyle name="Heading 4 2 2" xfId="3694" xr:uid="{00000000-0005-0000-0000-0000F50D0000}"/>
    <cellStyle name="Heading 4 2 2 2" xfId="3695" xr:uid="{00000000-0005-0000-0000-0000F60D0000}"/>
    <cellStyle name="Heading 4 2 2 2 2" xfId="3696" xr:uid="{00000000-0005-0000-0000-0000F70D0000}"/>
    <cellStyle name="Heading 4 2 2 2 3" xfId="3697" xr:uid="{00000000-0005-0000-0000-0000F80D0000}"/>
    <cellStyle name="Heading 4 2 2 3" xfId="3698" xr:uid="{00000000-0005-0000-0000-0000F90D0000}"/>
    <cellStyle name="Heading 4 2 2 4" xfId="3699" xr:uid="{00000000-0005-0000-0000-0000FA0D0000}"/>
    <cellStyle name="Heading 4 2 3" xfId="3700" xr:uid="{00000000-0005-0000-0000-0000FB0D0000}"/>
    <cellStyle name="Heading 4 2 4" xfId="3701" xr:uid="{00000000-0005-0000-0000-0000FC0D0000}"/>
    <cellStyle name="Heading 4 2 5" xfId="3702" xr:uid="{00000000-0005-0000-0000-0000FD0D0000}"/>
    <cellStyle name="Heading 4 2 6" xfId="3703" xr:uid="{00000000-0005-0000-0000-0000FE0D0000}"/>
    <cellStyle name="Heading 4 2 7" xfId="3704" xr:uid="{00000000-0005-0000-0000-0000FF0D0000}"/>
    <cellStyle name="Heading 4 2 8" xfId="3705" xr:uid="{00000000-0005-0000-0000-0000000E0000}"/>
    <cellStyle name="Heading 4 2 9" xfId="3706" xr:uid="{00000000-0005-0000-0000-0000010E0000}"/>
    <cellStyle name="Heading 4 3" xfId="3707" xr:uid="{00000000-0005-0000-0000-0000020E0000}"/>
    <cellStyle name="Heading 4 3 2" xfId="3708" xr:uid="{00000000-0005-0000-0000-0000030E0000}"/>
    <cellStyle name="Heading 4 3 3" xfId="3709" xr:uid="{00000000-0005-0000-0000-0000040E0000}"/>
    <cellStyle name="Heading 4 4" xfId="3710" xr:uid="{00000000-0005-0000-0000-0000050E0000}"/>
    <cellStyle name="Heading1" xfId="3711" xr:uid="{00000000-0005-0000-0000-0000060E0000}"/>
    <cellStyle name="Heading2" xfId="3712" xr:uid="{00000000-0005-0000-0000-0000070E0000}"/>
    <cellStyle name="Headline" xfId="95" xr:uid="{00000000-0005-0000-0000-0000080E0000}"/>
    <cellStyle name="Hed Side" xfId="150" xr:uid="{00000000-0005-0000-0000-0000090E0000}"/>
    <cellStyle name="Hed Side bold" xfId="151" xr:uid="{00000000-0005-0000-0000-00000A0E0000}"/>
    <cellStyle name="Hed Side Indent" xfId="152" xr:uid="{00000000-0005-0000-0000-00000B0E0000}"/>
    <cellStyle name="Hed Side Regular" xfId="153" xr:uid="{00000000-0005-0000-0000-00000C0E0000}"/>
    <cellStyle name="Hed Side_1-1A-Regular" xfId="154" xr:uid="{00000000-0005-0000-0000-00000D0E0000}"/>
    <cellStyle name="Hed Top" xfId="155" xr:uid="{00000000-0005-0000-0000-00000E0E0000}"/>
    <cellStyle name="Hed Top - SECTION" xfId="156" xr:uid="{00000000-0005-0000-0000-00000F0E0000}"/>
    <cellStyle name="Hed Top_3-new4" xfId="157" xr:uid="{00000000-0005-0000-0000-0000100E0000}"/>
    <cellStyle name="HSBC Input Date" xfId="3713" xr:uid="{00000000-0005-0000-0000-0000110E0000}"/>
    <cellStyle name="HSBC Input Number 1" xfId="3714" xr:uid="{00000000-0005-0000-0000-0000120E0000}"/>
    <cellStyle name="HSBC Input Number 2" xfId="3715" xr:uid="{00000000-0005-0000-0000-0000130E0000}"/>
    <cellStyle name="HSBC Input Number Link" xfId="3716" xr:uid="{00000000-0005-0000-0000-0000140E0000}"/>
    <cellStyle name="HSBC Input Percent" xfId="3717" xr:uid="{00000000-0005-0000-0000-0000150E0000}"/>
    <cellStyle name="HSBC Input Ratio" xfId="3718" xr:uid="{00000000-0005-0000-0000-0000160E0000}"/>
    <cellStyle name="HSBC Input Year Format" xfId="3719" xr:uid="{00000000-0005-0000-0000-0000170E0000}"/>
    <cellStyle name="HSBC Report Number" xfId="3720" xr:uid="{00000000-0005-0000-0000-0000180E0000}"/>
    <cellStyle name="HSBC Report Number 0" xfId="3721" xr:uid="{00000000-0005-0000-0000-0000190E0000}"/>
    <cellStyle name="HSBC Report Number 0 10" xfId="3722" xr:uid="{00000000-0005-0000-0000-00001A0E0000}"/>
    <cellStyle name="HSBC Report Number 0 11" xfId="3723" xr:uid="{00000000-0005-0000-0000-00001B0E0000}"/>
    <cellStyle name="HSBC Report Number 0 12" xfId="3724" xr:uid="{00000000-0005-0000-0000-00001C0E0000}"/>
    <cellStyle name="HSBC Report Number 0 13" xfId="3725" xr:uid="{00000000-0005-0000-0000-00001D0E0000}"/>
    <cellStyle name="HSBC Report Number 0 14" xfId="3726" xr:uid="{00000000-0005-0000-0000-00001E0E0000}"/>
    <cellStyle name="HSBC Report Number 0 15" xfId="3727" xr:uid="{00000000-0005-0000-0000-00001F0E0000}"/>
    <cellStyle name="HSBC Report Number 0 16" xfId="3728" xr:uid="{00000000-0005-0000-0000-0000200E0000}"/>
    <cellStyle name="HSBC Report Number 0 17" xfId="3729" xr:uid="{00000000-0005-0000-0000-0000210E0000}"/>
    <cellStyle name="HSBC Report Number 0 18" xfId="3730" xr:uid="{00000000-0005-0000-0000-0000220E0000}"/>
    <cellStyle name="HSBC Report Number 0 19" xfId="3731" xr:uid="{00000000-0005-0000-0000-0000230E0000}"/>
    <cellStyle name="HSBC Report Number 0 2" xfId="3732" xr:uid="{00000000-0005-0000-0000-0000240E0000}"/>
    <cellStyle name="HSBC Report Number 0 20" xfId="3733" xr:uid="{00000000-0005-0000-0000-0000250E0000}"/>
    <cellStyle name="HSBC Report Number 0 21" xfId="3734" xr:uid="{00000000-0005-0000-0000-0000260E0000}"/>
    <cellStyle name="HSBC Report Number 0 22" xfId="3735" xr:uid="{00000000-0005-0000-0000-0000270E0000}"/>
    <cellStyle name="HSBC Report Number 0 23" xfId="3736" xr:uid="{00000000-0005-0000-0000-0000280E0000}"/>
    <cellStyle name="HSBC Report Number 0 24" xfId="3737" xr:uid="{00000000-0005-0000-0000-0000290E0000}"/>
    <cellStyle name="HSBC Report Number 0 3" xfId="3738" xr:uid="{00000000-0005-0000-0000-00002A0E0000}"/>
    <cellStyle name="HSBC Report Number 0 4" xfId="3739" xr:uid="{00000000-0005-0000-0000-00002B0E0000}"/>
    <cellStyle name="HSBC Report Number 0 5" xfId="3740" xr:uid="{00000000-0005-0000-0000-00002C0E0000}"/>
    <cellStyle name="HSBC Report Number 0 6" xfId="3741" xr:uid="{00000000-0005-0000-0000-00002D0E0000}"/>
    <cellStyle name="HSBC Report Number 0 7" xfId="3742" xr:uid="{00000000-0005-0000-0000-00002E0E0000}"/>
    <cellStyle name="HSBC Report Number 0 8" xfId="3743" xr:uid="{00000000-0005-0000-0000-00002F0E0000}"/>
    <cellStyle name="HSBC Report Number 0 9" xfId="3744" xr:uid="{00000000-0005-0000-0000-0000300E0000}"/>
    <cellStyle name="HSBC Report Number 10" xfId="3745" xr:uid="{00000000-0005-0000-0000-0000310E0000}"/>
    <cellStyle name="HSBC Report Number 11" xfId="3746" xr:uid="{00000000-0005-0000-0000-0000320E0000}"/>
    <cellStyle name="HSBC Report Number 12" xfId="3747" xr:uid="{00000000-0005-0000-0000-0000330E0000}"/>
    <cellStyle name="HSBC Report Number 13" xfId="3748" xr:uid="{00000000-0005-0000-0000-0000340E0000}"/>
    <cellStyle name="HSBC Report Number 14" xfId="3749" xr:uid="{00000000-0005-0000-0000-0000350E0000}"/>
    <cellStyle name="HSBC Report Number 15" xfId="3750" xr:uid="{00000000-0005-0000-0000-0000360E0000}"/>
    <cellStyle name="HSBC Report Number 16" xfId="3751" xr:uid="{00000000-0005-0000-0000-0000370E0000}"/>
    <cellStyle name="HSBC Report Number 17" xfId="3752" xr:uid="{00000000-0005-0000-0000-0000380E0000}"/>
    <cellStyle name="HSBC Report Number 18" xfId="3753" xr:uid="{00000000-0005-0000-0000-0000390E0000}"/>
    <cellStyle name="HSBC Report Number 19" xfId="3754" xr:uid="{00000000-0005-0000-0000-00003A0E0000}"/>
    <cellStyle name="HSBC Report Number 2" xfId="3755" xr:uid="{00000000-0005-0000-0000-00003B0E0000}"/>
    <cellStyle name="HSBC Report Number 20" xfId="3756" xr:uid="{00000000-0005-0000-0000-00003C0E0000}"/>
    <cellStyle name="HSBC Report Number 21" xfId="3757" xr:uid="{00000000-0005-0000-0000-00003D0E0000}"/>
    <cellStyle name="HSBC Report Number 22" xfId="3758" xr:uid="{00000000-0005-0000-0000-00003E0E0000}"/>
    <cellStyle name="HSBC Report Number 23" xfId="3759" xr:uid="{00000000-0005-0000-0000-00003F0E0000}"/>
    <cellStyle name="HSBC Report Number 24" xfId="3760" xr:uid="{00000000-0005-0000-0000-0000400E0000}"/>
    <cellStyle name="HSBC Report Number 3" xfId="3761" xr:uid="{00000000-0005-0000-0000-0000410E0000}"/>
    <cellStyle name="HSBC Report Number 4" xfId="3762" xr:uid="{00000000-0005-0000-0000-0000420E0000}"/>
    <cellStyle name="HSBC Report Number 5" xfId="3763" xr:uid="{00000000-0005-0000-0000-0000430E0000}"/>
    <cellStyle name="HSBC Report Number 6" xfId="3764" xr:uid="{00000000-0005-0000-0000-0000440E0000}"/>
    <cellStyle name="HSBC Report Number 7" xfId="3765" xr:uid="{00000000-0005-0000-0000-0000450E0000}"/>
    <cellStyle name="HSBC Report Number 8" xfId="3766" xr:uid="{00000000-0005-0000-0000-0000460E0000}"/>
    <cellStyle name="HSBC Report Number 9" xfId="3767" xr:uid="{00000000-0005-0000-0000-0000470E0000}"/>
    <cellStyle name="HSBC Report Total" xfId="3768" xr:uid="{00000000-0005-0000-0000-0000480E0000}"/>
    <cellStyle name="HSBC Report Total Main" xfId="3769" xr:uid="{00000000-0005-0000-0000-0000490E0000}"/>
    <cellStyle name="HSBC Report Total Main 10" xfId="3770" xr:uid="{00000000-0005-0000-0000-00004A0E0000}"/>
    <cellStyle name="HSBC Report Total Main 10 2" xfId="3771" xr:uid="{00000000-0005-0000-0000-00004B0E0000}"/>
    <cellStyle name="HSBC Report Total Main 11" xfId="3772" xr:uid="{00000000-0005-0000-0000-00004C0E0000}"/>
    <cellStyle name="HSBC Report Total Main 11 2" xfId="3773" xr:uid="{00000000-0005-0000-0000-00004D0E0000}"/>
    <cellStyle name="HSBC Report Total Main 12" xfId="3774" xr:uid="{00000000-0005-0000-0000-00004E0E0000}"/>
    <cellStyle name="HSBC Report Total Main 12 2" xfId="3775" xr:uid="{00000000-0005-0000-0000-00004F0E0000}"/>
    <cellStyle name="HSBC Report Total Main 13" xfId="3776" xr:uid="{00000000-0005-0000-0000-0000500E0000}"/>
    <cellStyle name="HSBC Report Total Main 13 2" xfId="3777" xr:uid="{00000000-0005-0000-0000-0000510E0000}"/>
    <cellStyle name="HSBC Report Total Main 14" xfId="3778" xr:uid="{00000000-0005-0000-0000-0000520E0000}"/>
    <cellStyle name="HSBC Report Total Main 14 2" xfId="3779" xr:uid="{00000000-0005-0000-0000-0000530E0000}"/>
    <cellStyle name="HSBC Report Total Main 15" xfId="3780" xr:uid="{00000000-0005-0000-0000-0000540E0000}"/>
    <cellStyle name="HSBC Report Total Main 15 2" xfId="3781" xr:uid="{00000000-0005-0000-0000-0000550E0000}"/>
    <cellStyle name="HSBC Report Total Main 16" xfId="3782" xr:uid="{00000000-0005-0000-0000-0000560E0000}"/>
    <cellStyle name="HSBC Report Total Main 16 2" xfId="3783" xr:uid="{00000000-0005-0000-0000-0000570E0000}"/>
    <cellStyle name="HSBC Report Total Main 17" xfId="3784" xr:uid="{00000000-0005-0000-0000-0000580E0000}"/>
    <cellStyle name="HSBC Report Total Main 17 2" xfId="3785" xr:uid="{00000000-0005-0000-0000-0000590E0000}"/>
    <cellStyle name="HSBC Report Total Main 18" xfId="3786" xr:uid="{00000000-0005-0000-0000-00005A0E0000}"/>
    <cellStyle name="HSBC Report Total Main 18 2" xfId="3787" xr:uid="{00000000-0005-0000-0000-00005B0E0000}"/>
    <cellStyle name="HSBC Report Total Main 19" xfId="3788" xr:uid="{00000000-0005-0000-0000-00005C0E0000}"/>
    <cellStyle name="HSBC Report Total Main 19 2" xfId="3789" xr:uid="{00000000-0005-0000-0000-00005D0E0000}"/>
    <cellStyle name="HSBC Report Total Main 2" xfId="3790" xr:uid="{00000000-0005-0000-0000-00005E0E0000}"/>
    <cellStyle name="HSBC Report Total Main 2 10" xfId="3791" xr:uid="{00000000-0005-0000-0000-00005F0E0000}"/>
    <cellStyle name="HSBC Report Total Main 2 10 2" xfId="3792" xr:uid="{00000000-0005-0000-0000-0000600E0000}"/>
    <cellStyle name="HSBC Report Total Main 2 11" xfId="3793" xr:uid="{00000000-0005-0000-0000-0000610E0000}"/>
    <cellStyle name="HSBC Report Total Main 2 11 2" xfId="3794" xr:uid="{00000000-0005-0000-0000-0000620E0000}"/>
    <cellStyle name="HSBC Report Total Main 2 12" xfId="3795" xr:uid="{00000000-0005-0000-0000-0000630E0000}"/>
    <cellStyle name="HSBC Report Total Main 2 12 2" xfId="3796" xr:uid="{00000000-0005-0000-0000-0000640E0000}"/>
    <cellStyle name="HSBC Report Total Main 2 13" xfId="3797" xr:uid="{00000000-0005-0000-0000-0000650E0000}"/>
    <cellStyle name="HSBC Report Total Main 2 13 2" xfId="3798" xr:uid="{00000000-0005-0000-0000-0000660E0000}"/>
    <cellStyle name="HSBC Report Total Main 2 14" xfId="3799" xr:uid="{00000000-0005-0000-0000-0000670E0000}"/>
    <cellStyle name="HSBC Report Total Main 2 14 2" xfId="3800" xr:uid="{00000000-0005-0000-0000-0000680E0000}"/>
    <cellStyle name="HSBC Report Total Main 2 15" xfId="3801" xr:uid="{00000000-0005-0000-0000-0000690E0000}"/>
    <cellStyle name="HSBC Report Total Main 2 15 2" xfId="3802" xr:uid="{00000000-0005-0000-0000-00006A0E0000}"/>
    <cellStyle name="HSBC Report Total Main 2 16" xfId="3803" xr:uid="{00000000-0005-0000-0000-00006B0E0000}"/>
    <cellStyle name="HSBC Report Total Main 2 16 2" xfId="3804" xr:uid="{00000000-0005-0000-0000-00006C0E0000}"/>
    <cellStyle name="HSBC Report Total Main 2 17" xfId="3805" xr:uid="{00000000-0005-0000-0000-00006D0E0000}"/>
    <cellStyle name="HSBC Report Total Main 2 2" xfId="3806" xr:uid="{00000000-0005-0000-0000-00006E0E0000}"/>
    <cellStyle name="HSBC Report Total Main 2 2 10" xfId="3807" xr:uid="{00000000-0005-0000-0000-00006F0E0000}"/>
    <cellStyle name="HSBC Report Total Main 2 2 10 2" xfId="3808" xr:uid="{00000000-0005-0000-0000-0000700E0000}"/>
    <cellStyle name="HSBC Report Total Main 2 2 11" xfId="3809" xr:uid="{00000000-0005-0000-0000-0000710E0000}"/>
    <cellStyle name="HSBC Report Total Main 2 2 11 2" xfId="3810" xr:uid="{00000000-0005-0000-0000-0000720E0000}"/>
    <cellStyle name="HSBC Report Total Main 2 2 12" xfId="3811" xr:uid="{00000000-0005-0000-0000-0000730E0000}"/>
    <cellStyle name="HSBC Report Total Main 2 2 12 2" xfId="3812" xr:uid="{00000000-0005-0000-0000-0000740E0000}"/>
    <cellStyle name="HSBC Report Total Main 2 2 13" xfId="3813" xr:uid="{00000000-0005-0000-0000-0000750E0000}"/>
    <cellStyle name="HSBC Report Total Main 2 2 13 2" xfId="3814" xr:uid="{00000000-0005-0000-0000-0000760E0000}"/>
    <cellStyle name="HSBC Report Total Main 2 2 14" xfId="3815" xr:uid="{00000000-0005-0000-0000-0000770E0000}"/>
    <cellStyle name="HSBC Report Total Main 2 2 14 2" xfId="3816" xr:uid="{00000000-0005-0000-0000-0000780E0000}"/>
    <cellStyle name="HSBC Report Total Main 2 2 15" xfId="3817" xr:uid="{00000000-0005-0000-0000-0000790E0000}"/>
    <cellStyle name="HSBC Report Total Main 2 2 2" xfId="3818" xr:uid="{00000000-0005-0000-0000-00007A0E0000}"/>
    <cellStyle name="HSBC Report Total Main 2 2 2 2" xfId="3819" xr:uid="{00000000-0005-0000-0000-00007B0E0000}"/>
    <cellStyle name="HSBC Report Total Main 2 2 3" xfId="3820" xr:uid="{00000000-0005-0000-0000-00007C0E0000}"/>
    <cellStyle name="HSBC Report Total Main 2 2 3 2" xfId="3821" xr:uid="{00000000-0005-0000-0000-00007D0E0000}"/>
    <cellStyle name="HSBC Report Total Main 2 2 4" xfId="3822" xr:uid="{00000000-0005-0000-0000-00007E0E0000}"/>
    <cellStyle name="HSBC Report Total Main 2 2 4 2" xfId="3823" xr:uid="{00000000-0005-0000-0000-00007F0E0000}"/>
    <cellStyle name="HSBC Report Total Main 2 2 5" xfId="3824" xr:uid="{00000000-0005-0000-0000-0000800E0000}"/>
    <cellStyle name="HSBC Report Total Main 2 2 5 2" xfId="3825" xr:uid="{00000000-0005-0000-0000-0000810E0000}"/>
    <cellStyle name="HSBC Report Total Main 2 2 6" xfId="3826" xr:uid="{00000000-0005-0000-0000-0000820E0000}"/>
    <cellStyle name="HSBC Report Total Main 2 2 6 2" xfId="3827" xr:uid="{00000000-0005-0000-0000-0000830E0000}"/>
    <cellStyle name="HSBC Report Total Main 2 2 7" xfId="3828" xr:uid="{00000000-0005-0000-0000-0000840E0000}"/>
    <cellStyle name="HSBC Report Total Main 2 2 7 2" xfId="3829" xr:uid="{00000000-0005-0000-0000-0000850E0000}"/>
    <cellStyle name="HSBC Report Total Main 2 2 8" xfId="3830" xr:uid="{00000000-0005-0000-0000-0000860E0000}"/>
    <cellStyle name="HSBC Report Total Main 2 2 8 2" xfId="3831" xr:uid="{00000000-0005-0000-0000-0000870E0000}"/>
    <cellStyle name="HSBC Report Total Main 2 2 9" xfId="3832" xr:uid="{00000000-0005-0000-0000-0000880E0000}"/>
    <cellStyle name="HSBC Report Total Main 2 2 9 2" xfId="3833" xr:uid="{00000000-0005-0000-0000-0000890E0000}"/>
    <cellStyle name="HSBC Report Total Main 2 3" xfId="3834" xr:uid="{00000000-0005-0000-0000-00008A0E0000}"/>
    <cellStyle name="HSBC Report Total Main 2 3 2" xfId="3835" xr:uid="{00000000-0005-0000-0000-00008B0E0000}"/>
    <cellStyle name="HSBC Report Total Main 2 3 2 2" xfId="3836" xr:uid="{00000000-0005-0000-0000-00008C0E0000}"/>
    <cellStyle name="HSBC Report Total Main 2 3 3" xfId="3837" xr:uid="{00000000-0005-0000-0000-00008D0E0000}"/>
    <cellStyle name="HSBC Report Total Main 2 3 3 2" xfId="3838" xr:uid="{00000000-0005-0000-0000-00008E0E0000}"/>
    <cellStyle name="HSBC Report Total Main 2 3 4" xfId="3839" xr:uid="{00000000-0005-0000-0000-00008F0E0000}"/>
    <cellStyle name="HSBC Report Total Main 2 4" xfId="3840" xr:uid="{00000000-0005-0000-0000-0000900E0000}"/>
    <cellStyle name="HSBC Report Total Main 2 4 2" xfId="3841" xr:uid="{00000000-0005-0000-0000-0000910E0000}"/>
    <cellStyle name="HSBC Report Total Main 2 5" xfId="3842" xr:uid="{00000000-0005-0000-0000-0000920E0000}"/>
    <cellStyle name="HSBC Report Total Main 2 5 2" xfId="3843" xr:uid="{00000000-0005-0000-0000-0000930E0000}"/>
    <cellStyle name="HSBC Report Total Main 2 6" xfId="3844" xr:uid="{00000000-0005-0000-0000-0000940E0000}"/>
    <cellStyle name="HSBC Report Total Main 2 6 2" xfId="3845" xr:uid="{00000000-0005-0000-0000-0000950E0000}"/>
    <cellStyle name="HSBC Report Total Main 2 7" xfId="3846" xr:uid="{00000000-0005-0000-0000-0000960E0000}"/>
    <cellStyle name="HSBC Report Total Main 2 7 2" xfId="3847" xr:uid="{00000000-0005-0000-0000-0000970E0000}"/>
    <cellStyle name="HSBC Report Total Main 2 8" xfId="3848" xr:uid="{00000000-0005-0000-0000-0000980E0000}"/>
    <cellStyle name="HSBC Report Total Main 2 8 2" xfId="3849" xr:uid="{00000000-0005-0000-0000-0000990E0000}"/>
    <cellStyle name="HSBC Report Total Main 2 9" xfId="3850" xr:uid="{00000000-0005-0000-0000-00009A0E0000}"/>
    <cellStyle name="HSBC Report Total Main 2 9 2" xfId="3851" xr:uid="{00000000-0005-0000-0000-00009B0E0000}"/>
    <cellStyle name="HSBC Report Total Main 20" xfId="3852" xr:uid="{00000000-0005-0000-0000-00009C0E0000}"/>
    <cellStyle name="HSBC Report Total Main 20 2" xfId="3853" xr:uid="{00000000-0005-0000-0000-00009D0E0000}"/>
    <cellStyle name="HSBC Report Total Main 21" xfId="3854" xr:uid="{00000000-0005-0000-0000-00009E0E0000}"/>
    <cellStyle name="HSBC Report Total Main 21 2" xfId="3855" xr:uid="{00000000-0005-0000-0000-00009F0E0000}"/>
    <cellStyle name="HSBC Report Total Main 22" xfId="3856" xr:uid="{00000000-0005-0000-0000-0000A00E0000}"/>
    <cellStyle name="HSBC Report Total Main 22 2" xfId="3857" xr:uid="{00000000-0005-0000-0000-0000A10E0000}"/>
    <cellStyle name="HSBC Report Total Main 3" xfId="3858" xr:uid="{00000000-0005-0000-0000-0000A20E0000}"/>
    <cellStyle name="HSBC Report Total Main 3 10" xfId="3859" xr:uid="{00000000-0005-0000-0000-0000A30E0000}"/>
    <cellStyle name="HSBC Report Total Main 3 10 2" xfId="3860" xr:uid="{00000000-0005-0000-0000-0000A40E0000}"/>
    <cellStyle name="HSBC Report Total Main 3 11" xfId="3861" xr:uid="{00000000-0005-0000-0000-0000A50E0000}"/>
    <cellStyle name="HSBC Report Total Main 3 11 2" xfId="3862" xr:uid="{00000000-0005-0000-0000-0000A60E0000}"/>
    <cellStyle name="HSBC Report Total Main 3 12" xfId="3863" xr:uid="{00000000-0005-0000-0000-0000A70E0000}"/>
    <cellStyle name="HSBC Report Total Main 3 12 2" xfId="3864" xr:uid="{00000000-0005-0000-0000-0000A80E0000}"/>
    <cellStyle name="HSBC Report Total Main 3 13" xfId="3865" xr:uid="{00000000-0005-0000-0000-0000A90E0000}"/>
    <cellStyle name="HSBC Report Total Main 3 13 2" xfId="3866" xr:uid="{00000000-0005-0000-0000-0000AA0E0000}"/>
    <cellStyle name="HSBC Report Total Main 3 14" xfId="3867" xr:uid="{00000000-0005-0000-0000-0000AB0E0000}"/>
    <cellStyle name="HSBC Report Total Main 3 14 2" xfId="3868" xr:uid="{00000000-0005-0000-0000-0000AC0E0000}"/>
    <cellStyle name="HSBC Report Total Main 3 15" xfId="3869" xr:uid="{00000000-0005-0000-0000-0000AD0E0000}"/>
    <cellStyle name="HSBC Report Total Main 3 15 2" xfId="3870" xr:uid="{00000000-0005-0000-0000-0000AE0E0000}"/>
    <cellStyle name="HSBC Report Total Main 3 16" xfId="3871" xr:uid="{00000000-0005-0000-0000-0000AF0E0000}"/>
    <cellStyle name="HSBC Report Total Main 3 16 2" xfId="3872" xr:uid="{00000000-0005-0000-0000-0000B00E0000}"/>
    <cellStyle name="HSBC Report Total Main 3 17" xfId="3873" xr:uid="{00000000-0005-0000-0000-0000B10E0000}"/>
    <cellStyle name="HSBC Report Total Main 3 2" xfId="3874" xr:uid="{00000000-0005-0000-0000-0000B20E0000}"/>
    <cellStyle name="HSBC Report Total Main 3 2 10" xfId="3875" xr:uid="{00000000-0005-0000-0000-0000B30E0000}"/>
    <cellStyle name="HSBC Report Total Main 3 2 10 2" xfId="3876" xr:uid="{00000000-0005-0000-0000-0000B40E0000}"/>
    <cellStyle name="HSBC Report Total Main 3 2 11" xfId="3877" xr:uid="{00000000-0005-0000-0000-0000B50E0000}"/>
    <cellStyle name="HSBC Report Total Main 3 2 11 2" xfId="3878" xr:uid="{00000000-0005-0000-0000-0000B60E0000}"/>
    <cellStyle name="HSBC Report Total Main 3 2 12" xfId="3879" xr:uid="{00000000-0005-0000-0000-0000B70E0000}"/>
    <cellStyle name="HSBC Report Total Main 3 2 12 2" xfId="3880" xr:uid="{00000000-0005-0000-0000-0000B80E0000}"/>
    <cellStyle name="HSBC Report Total Main 3 2 13" xfId="3881" xr:uid="{00000000-0005-0000-0000-0000B90E0000}"/>
    <cellStyle name="HSBC Report Total Main 3 2 13 2" xfId="3882" xr:uid="{00000000-0005-0000-0000-0000BA0E0000}"/>
    <cellStyle name="HSBC Report Total Main 3 2 14" xfId="3883" xr:uid="{00000000-0005-0000-0000-0000BB0E0000}"/>
    <cellStyle name="HSBC Report Total Main 3 2 14 2" xfId="3884" xr:uid="{00000000-0005-0000-0000-0000BC0E0000}"/>
    <cellStyle name="HSBC Report Total Main 3 2 15" xfId="3885" xr:uid="{00000000-0005-0000-0000-0000BD0E0000}"/>
    <cellStyle name="HSBC Report Total Main 3 2 2" xfId="3886" xr:uid="{00000000-0005-0000-0000-0000BE0E0000}"/>
    <cellStyle name="HSBC Report Total Main 3 2 2 2" xfId="3887" xr:uid="{00000000-0005-0000-0000-0000BF0E0000}"/>
    <cellStyle name="HSBC Report Total Main 3 2 3" xfId="3888" xr:uid="{00000000-0005-0000-0000-0000C00E0000}"/>
    <cellStyle name="HSBC Report Total Main 3 2 3 2" xfId="3889" xr:uid="{00000000-0005-0000-0000-0000C10E0000}"/>
    <cellStyle name="HSBC Report Total Main 3 2 4" xfId="3890" xr:uid="{00000000-0005-0000-0000-0000C20E0000}"/>
    <cellStyle name="HSBC Report Total Main 3 2 4 2" xfId="3891" xr:uid="{00000000-0005-0000-0000-0000C30E0000}"/>
    <cellStyle name="HSBC Report Total Main 3 2 5" xfId="3892" xr:uid="{00000000-0005-0000-0000-0000C40E0000}"/>
    <cellStyle name="HSBC Report Total Main 3 2 5 2" xfId="3893" xr:uid="{00000000-0005-0000-0000-0000C50E0000}"/>
    <cellStyle name="HSBC Report Total Main 3 2 6" xfId="3894" xr:uid="{00000000-0005-0000-0000-0000C60E0000}"/>
    <cellStyle name="HSBC Report Total Main 3 2 6 2" xfId="3895" xr:uid="{00000000-0005-0000-0000-0000C70E0000}"/>
    <cellStyle name="HSBC Report Total Main 3 2 7" xfId="3896" xr:uid="{00000000-0005-0000-0000-0000C80E0000}"/>
    <cellStyle name="HSBC Report Total Main 3 2 7 2" xfId="3897" xr:uid="{00000000-0005-0000-0000-0000C90E0000}"/>
    <cellStyle name="HSBC Report Total Main 3 2 8" xfId="3898" xr:uid="{00000000-0005-0000-0000-0000CA0E0000}"/>
    <cellStyle name="HSBC Report Total Main 3 2 8 2" xfId="3899" xr:uid="{00000000-0005-0000-0000-0000CB0E0000}"/>
    <cellStyle name="HSBC Report Total Main 3 2 9" xfId="3900" xr:uid="{00000000-0005-0000-0000-0000CC0E0000}"/>
    <cellStyle name="HSBC Report Total Main 3 2 9 2" xfId="3901" xr:uid="{00000000-0005-0000-0000-0000CD0E0000}"/>
    <cellStyle name="HSBC Report Total Main 3 3" xfId="3902" xr:uid="{00000000-0005-0000-0000-0000CE0E0000}"/>
    <cellStyle name="HSBC Report Total Main 3 3 2" xfId="3903" xr:uid="{00000000-0005-0000-0000-0000CF0E0000}"/>
    <cellStyle name="HSBC Report Total Main 3 3 2 2" xfId="3904" xr:uid="{00000000-0005-0000-0000-0000D00E0000}"/>
    <cellStyle name="HSBC Report Total Main 3 3 3" xfId="3905" xr:uid="{00000000-0005-0000-0000-0000D10E0000}"/>
    <cellStyle name="HSBC Report Total Main 3 3 3 2" xfId="3906" xr:uid="{00000000-0005-0000-0000-0000D20E0000}"/>
    <cellStyle name="HSBC Report Total Main 3 3 4" xfId="3907" xr:uid="{00000000-0005-0000-0000-0000D30E0000}"/>
    <cellStyle name="HSBC Report Total Main 3 4" xfId="3908" xr:uid="{00000000-0005-0000-0000-0000D40E0000}"/>
    <cellStyle name="HSBC Report Total Main 3 4 2" xfId="3909" xr:uid="{00000000-0005-0000-0000-0000D50E0000}"/>
    <cellStyle name="HSBC Report Total Main 3 5" xfId="3910" xr:uid="{00000000-0005-0000-0000-0000D60E0000}"/>
    <cellStyle name="HSBC Report Total Main 3 5 2" xfId="3911" xr:uid="{00000000-0005-0000-0000-0000D70E0000}"/>
    <cellStyle name="HSBC Report Total Main 3 6" xfId="3912" xr:uid="{00000000-0005-0000-0000-0000D80E0000}"/>
    <cellStyle name="HSBC Report Total Main 3 6 2" xfId="3913" xr:uid="{00000000-0005-0000-0000-0000D90E0000}"/>
    <cellStyle name="HSBC Report Total Main 3 7" xfId="3914" xr:uid="{00000000-0005-0000-0000-0000DA0E0000}"/>
    <cellStyle name="HSBC Report Total Main 3 7 2" xfId="3915" xr:uid="{00000000-0005-0000-0000-0000DB0E0000}"/>
    <cellStyle name="HSBC Report Total Main 3 8" xfId="3916" xr:uid="{00000000-0005-0000-0000-0000DC0E0000}"/>
    <cellStyle name="HSBC Report Total Main 3 8 2" xfId="3917" xr:uid="{00000000-0005-0000-0000-0000DD0E0000}"/>
    <cellStyle name="HSBC Report Total Main 3 9" xfId="3918" xr:uid="{00000000-0005-0000-0000-0000DE0E0000}"/>
    <cellStyle name="HSBC Report Total Main 3 9 2" xfId="3919" xr:uid="{00000000-0005-0000-0000-0000DF0E0000}"/>
    <cellStyle name="HSBC Report Total Main 4" xfId="3920" xr:uid="{00000000-0005-0000-0000-0000E00E0000}"/>
    <cellStyle name="HSBC Report Total Main 4 10" xfId="3921" xr:uid="{00000000-0005-0000-0000-0000E10E0000}"/>
    <cellStyle name="HSBC Report Total Main 4 10 2" xfId="3922" xr:uid="{00000000-0005-0000-0000-0000E20E0000}"/>
    <cellStyle name="HSBC Report Total Main 4 11" xfId="3923" xr:uid="{00000000-0005-0000-0000-0000E30E0000}"/>
    <cellStyle name="HSBC Report Total Main 4 11 2" xfId="3924" xr:uid="{00000000-0005-0000-0000-0000E40E0000}"/>
    <cellStyle name="HSBC Report Total Main 4 12" xfId="3925" xr:uid="{00000000-0005-0000-0000-0000E50E0000}"/>
    <cellStyle name="HSBC Report Total Main 4 12 2" xfId="3926" xr:uid="{00000000-0005-0000-0000-0000E60E0000}"/>
    <cellStyle name="HSBC Report Total Main 4 13" xfId="3927" xr:uid="{00000000-0005-0000-0000-0000E70E0000}"/>
    <cellStyle name="HSBC Report Total Main 4 13 2" xfId="3928" xr:uid="{00000000-0005-0000-0000-0000E80E0000}"/>
    <cellStyle name="HSBC Report Total Main 4 14" xfId="3929" xr:uid="{00000000-0005-0000-0000-0000E90E0000}"/>
    <cellStyle name="HSBC Report Total Main 4 14 2" xfId="3930" xr:uid="{00000000-0005-0000-0000-0000EA0E0000}"/>
    <cellStyle name="HSBC Report Total Main 4 15" xfId="3931" xr:uid="{00000000-0005-0000-0000-0000EB0E0000}"/>
    <cellStyle name="HSBC Report Total Main 4 15 2" xfId="3932" xr:uid="{00000000-0005-0000-0000-0000EC0E0000}"/>
    <cellStyle name="HSBC Report Total Main 4 16" xfId="3933" xr:uid="{00000000-0005-0000-0000-0000ED0E0000}"/>
    <cellStyle name="HSBC Report Total Main 4 16 2" xfId="3934" xr:uid="{00000000-0005-0000-0000-0000EE0E0000}"/>
    <cellStyle name="HSBC Report Total Main 4 17" xfId="3935" xr:uid="{00000000-0005-0000-0000-0000EF0E0000}"/>
    <cellStyle name="HSBC Report Total Main 4 2" xfId="3936" xr:uid="{00000000-0005-0000-0000-0000F00E0000}"/>
    <cellStyle name="HSBC Report Total Main 4 2 10" xfId="3937" xr:uid="{00000000-0005-0000-0000-0000F10E0000}"/>
    <cellStyle name="HSBC Report Total Main 4 2 10 2" xfId="3938" xr:uid="{00000000-0005-0000-0000-0000F20E0000}"/>
    <cellStyle name="HSBC Report Total Main 4 2 11" xfId="3939" xr:uid="{00000000-0005-0000-0000-0000F30E0000}"/>
    <cellStyle name="HSBC Report Total Main 4 2 11 2" xfId="3940" xr:uid="{00000000-0005-0000-0000-0000F40E0000}"/>
    <cellStyle name="HSBC Report Total Main 4 2 12" xfId="3941" xr:uid="{00000000-0005-0000-0000-0000F50E0000}"/>
    <cellStyle name="HSBC Report Total Main 4 2 12 2" xfId="3942" xr:uid="{00000000-0005-0000-0000-0000F60E0000}"/>
    <cellStyle name="HSBC Report Total Main 4 2 13" xfId="3943" xr:uid="{00000000-0005-0000-0000-0000F70E0000}"/>
    <cellStyle name="HSBC Report Total Main 4 2 13 2" xfId="3944" xr:uid="{00000000-0005-0000-0000-0000F80E0000}"/>
    <cellStyle name="HSBC Report Total Main 4 2 14" xfId="3945" xr:uid="{00000000-0005-0000-0000-0000F90E0000}"/>
    <cellStyle name="HSBC Report Total Main 4 2 14 2" xfId="3946" xr:uid="{00000000-0005-0000-0000-0000FA0E0000}"/>
    <cellStyle name="HSBC Report Total Main 4 2 15" xfId="3947" xr:uid="{00000000-0005-0000-0000-0000FB0E0000}"/>
    <cellStyle name="HSBC Report Total Main 4 2 2" xfId="3948" xr:uid="{00000000-0005-0000-0000-0000FC0E0000}"/>
    <cellStyle name="HSBC Report Total Main 4 2 2 2" xfId="3949" xr:uid="{00000000-0005-0000-0000-0000FD0E0000}"/>
    <cellStyle name="HSBC Report Total Main 4 2 3" xfId="3950" xr:uid="{00000000-0005-0000-0000-0000FE0E0000}"/>
    <cellStyle name="HSBC Report Total Main 4 2 3 2" xfId="3951" xr:uid="{00000000-0005-0000-0000-0000FF0E0000}"/>
    <cellStyle name="HSBC Report Total Main 4 2 4" xfId="3952" xr:uid="{00000000-0005-0000-0000-0000000F0000}"/>
    <cellStyle name="HSBC Report Total Main 4 2 4 2" xfId="3953" xr:uid="{00000000-0005-0000-0000-0000010F0000}"/>
    <cellStyle name="HSBC Report Total Main 4 2 5" xfId="3954" xr:uid="{00000000-0005-0000-0000-0000020F0000}"/>
    <cellStyle name="HSBC Report Total Main 4 2 5 2" xfId="3955" xr:uid="{00000000-0005-0000-0000-0000030F0000}"/>
    <cellStyle name="HSBC Report Total Main 4 2 6" xfId="3956" xr:uid="{00000000-0005-0000-0000-0000040F0000}"/>
    <cellStyle name="HSBC Report Total Main 4 2 6 2" xfId="3957" xr:uid="{00000000-0005-0000-0000-0000050F0000}"/>
    <cellStyle name="HSBC Report Total Main 4 2 7" xfId="3958" xr:uid="{00000000-0005-0000-0000-0000060F0000}"/>
    <cellStyle name="HSBC Report Total Main 4 2 7 2" xfId="3959" xr:uid="{00000000-0005-0000-0000-0000070F0000}"/>
    <cellStyle name="HSBC Report Total Main 4 2 8" xfId="3960" xr:uid="{00000000-0005-0000-0000-0000080F0000}"/>
    <cellStyle name="HSBC Report Total Main 4 2 8 2" xfId="3961" xr:uid="{00000000-0005-0000-0000-0000090F0000}"/>
    <cellStyle name="HSBC Report Total Main 4 2 9" xfId="3962" xr:uid="{00000000-0005-0000-0000-00000A0F0000}"/>
    <cellStyle name="HSBC Report Total Main 4 2 9 2" xfId="3963" xr:uid="{00000000-0005-0000-0000-00000B0F0000}"/>
    <cellStyle name="HSBC Report Total Main 4 3" xfId="3964" xr:uid="{00000000-0005-0000-0000-00000C0F0000}"/>
    <cellStyle name="HSBC Report Total Main 4 3 2" xfId="3965" xr:uid="{00000000-0005-0000-0000-00000D0F0000}"/>
    <cellStyle name="HSBC Report Total Main 4 3 2 2" xfId="3966" xr:uid="{00000000-0005-0000-0000-00000E0F0000}"/>
    <cellStyle name="HSBC Report Total Main 4 3 3" xfId="3967" xr:uid="{00000000-0005-0000-0000-00000F0F0000}"/>
    <cellStyle name="HSBC Report Total Main 4 3 3 2" xfId="3968" xr:uid="{00000000-0005-0000-0000-0000100F0000}"/>
    <cellStyle name="HSBC Report Total Main 4 3 4" xfId="3969" xr:uid="{00000000-0005-0000-0000-0000110F0000}"/>
    <cellStyle name="HSBC Report Total Main 4 4" xfId="3970" xr:uid="{00000000-0005-0000-0000-0000120F0000}"/>
    <cellStyle name="HSBC Report Total Main 4 4 2" xfId="3971" xr:uid="{00000000-0005-0000-0000-0000130F0000}"/>
    <cellStyle name="HSBC Report Total Main 4 5" xfId="3972" xr:uid="{00000000-0005-0000-0000-0000140F0000}"/>
    <cellStyle name="HSBC Report Total Main 4 5 2" xfId="3973" xr:uid="{00000000-0005-0000-0000-0000150F0000}"/>
    <cellStyle name="HSBC Report Total Main 4 6" xfId="3974" xr:uid="{00000000-0005-0000-0000-0000160F0000}"/>
    <cellStyle name="HSBC Report Total Main 4 6 2" xfId="3975" xr:uid="{00000000-0005-0000-0000-0000170F0000}"/>
    <cellStyle name="HSBC Report Total Main 4 7" xfId="3976" xr:uid="{00000000-0005-0000-0000-0000180F0000}"/>
    <cellStyle name="HSBC Report Total Main 4 7 2" xfId="3977" xr:uid="{00000000-0005-0000-0000-0000190F0000}"/>
    <cellStyle name="HSBC Report Total Main 4 8" xfId="3978" xr:uid="{00000000-0005-0000-0000-00001A0F0000}"/>
    <cellStyle name="HSBC Report Total Main 4 8 2" xfId="3979" xr:uid="{00000000-0005-0000-0000-00001B0F0000}"/>
    <cellStyle name="HSBC Report Total Main 4 9" xfId="3980" xr:uid="{00000000-0005-0000-0000-00001C0F0000}"/>
    <cellStyle name="HSBC Report Total Main 4 9 2" xfId="3981" xr:uid="{00000000-0005-0000-0000-00001D0F0000}"/>
    <cellStyle name="HSBC Report Total Main 5" xfId="3982" xr:uid="{00000000-0005-0000-0000-00001E0F0000}"/>
    <cellStyle name="HSBC Report Total Main 5 10" xfId="3983" xr:uid="{00000000-0005-0000-0000-00001F0F0000}"/>
    <cellStyle name="HSBC Report Total Main 5 10 2" xfId="3984" xr:uid="{00000000-0005-0000-0000-0000200F0000}"/>
    <cellStyle name="HSBC Report Total Main 5 11" xfId="3985" xr:uid="{00000000-0005-0000-0000-0000210F0000}"/>
    <cellStyle name="HSBC Report Total Main 5 11 2" xfId="3986" xr:uid="{00000000-0005-0000-0000-0000220F0000}"/>
    <cellStyle name="HSBC Report Total Main 5 12" xfId="3987" xr:uid="{00000000-0005-0000-0000-0000230F0000}"/>
    <cellStyle name="HSBC Report Total Main 5 12 2" xfId="3988" xr:uid="{00000000-0005-0000-0000-0000240F0000}"/>
    <cellStyle name="HSBC Report Total Main 5 13" xfId="3989" xr:uid="{00000000-0005-0000-0000-0000250F0000}"/>
    <cellStyle name="HSBC Report Total Main 5 13 2" xfId="3990" xr:uid="{00000000-0005-0000-0000-0000260F0000}"/>
    <cellStyle name="HSBC Report Total Main 5 14" xfId="3991" xr:uid="{00000000-0005-0000-0000-0000270F0000}"/>
    <cellStyle name="HSBC Report Total Main 5 14 2" xfId="3992" xr:uid="{00000000-0005-0000-0000-0000280F0000}"/>
    <cellStyle name="HSBC Report Total Main 5 15" xfId="3993" xr:uid="{00000000-0005-0000-0000-0000290F0000}"/>
    <cellStyle name="HSBC Report Total Main 5 15 2" xfId="3994" xr:uid="{00000000-0005-0000-0000-00002A0F0000}"/>
    <cellStyle name="HSBC Report Total Main 5 16" xfId="3995" xr:uid="{00000000-0005-0000-0000-00002B0F0000}"/>
    <cellStyle name="HSBC Report Total Main 5 16 2" xfId="3996" xr:uid="{00000000-0005-0000-0000-00002C0F0000}"/>
    <cellStyle name="HSBC Report Total Main 5 17" xfId="3997" xr:uid="{00000000-0005-0000-0000-00002D0F0000}"/>
    <cellStyle name="HSBC Report Total Main 5 2" xfId="3998" xr:uid="{00000000-0005-0000-0000-00002E0F0000}"/>
    <cellStyle name="HSBC Report Total Main 5 2 10" xfId="3999" xr:uid="{00000000-0005-0000-0000-00002F0F0000}"/>
    <cellStyle name="HSBC Report Total Main 5 2 10 2" xfId="4000" xr:uid="{00000000-0005-0000-0000-0000300F0000}"/>
    <cellStyle name="HSBC Report Total Main 5 2 11" xfId="4001" xr:uid="{00000000-0005-0000-0000-0000310F0000}"/>
    <cellStyle name="HSBC Report Total Main 5 2 11 2" xfId="4002" xr:uid="{00000000-0005-0000-0000-0000320F0000}"/>
    <cellStyle name="HSBC Report Total Main 5 2 12" xfId="4003" xr:uid="{00000000-0005-0000-0000-0000330F0000}"/>
    <cellStyle name="HSBC Report Total Main 5 2 12 2" xfId="4004" xr:uid="{00000000-0005-0000-0000-0000340F0000}"/>
    <cellStyle name="HSBC Report Total Main 5 2 13" xfId="4005" xr:uid="{00000000-0005-0000-0000-0000350F0000}"/>
    <cellStyle name="HSBC Report Total Main 5 2 13 2" xfId="4006" xr:uid="{00000000-0005-0000-0000-0000360F0000}"/>
    <cellStyle name="HSBC Report Total Main 5 2 14" xfId="4007" xr:uid="{00000000-0005-0000-0000-0000370F0000}"/>
    <cellStyle name="HSBC Report Total Main 5 2 14 2" xfId="4008" xr:uid="{00000000-0005-0000-0000-0000380F0000}"/>
    <cellStyle name="HSBC Report Total Main 5 2 15" xfId="4009" xr:uid="{00000000-0005-0000-0000-0000390F0000}"/>
    <cellStyle name="HSBC Report Total Main 5 2 2" xfId="4010" xr:uid="{00000000-0005-0000-0000-00003A0F0000}"/>
    <cellStyle name="HSBC Report Total Main 5 2 2 2" xfId="4011" xr:uid="{00000000-0005-0000-0000-00003B0F0000}"/>
    <cellStyle name="HSBC Report Total Main 5 2 3" xfId="4012" xr:uid="{00000000-0005-0000-0000-00003C0F0000}"/>
    <cellStyle name="HSBC Report Total Main 5 2 3 2" xfId="4013" xr:uid="{00000000-0005-0000-0000-00003D0F0000}"/>
    <cellStyle name="HSBC Report Total Main 5 2 4" xfId="4014" xr:uid="{00000000-0005-0000-0000-00003E0F0000}"/>
    <cellStyle name="HSBC Report Total Main 5 2 4 2" xfId="4015" xr:uid="{00000000-0005-0000-0000-00003F0F0000}"/>
    <cellStyle name="HSBC Report Total Main 5 2 5" xfId="4016" xr:uid="{00000000-0005-0000-0000-0000400F0000}"/>
    <cellStyle name="HSBC Report Total Main 5 2 5 2" xfId="4017" xr:uid="{00000000-0005-0000-0000-0000410F0000}"/>
    <cellStyle name="HSBC Report Total Main 5 2 6" xfId="4018" xr:uid="{00000000-0005-0000-0000-0000420F0000}"/>
    <cellStyle name="HSBC Report Total Main 5 2 6 2" xfId="4019" xr:uid="{00000000-0005-0000-0000-0000430F0000}"/>
    <cellStyle name="HSBC Report Total Main 5 2 7" xfId="4020" xr:uid="{00000000-0005-0000-0000-0000440F0000}"/>
    <cellStyle name="HSBC Report Total Main 5 2 7 2" xfId="4021" xr:uid="{00000000-0005-0000-0000-0000450F0000}"/>
    <cellStyle name="HSBC Report Total Main 5 2 8" xfId="4022" xr:uid="{00000000-0005-0000-0000-0000460F0000}"/>
    <cellStyle name="HSBC Report Total Main 5 2 8 2" xfId="4023" xr:uid="{00000000-0005-0000-0000-0000470F0000}"/>
    <cellStyle name="HSBC Report Total Main 5 2 9" xfId="4024" xr:uid="{00000000-0005-0000-0000-0000480F0000}"/>
    <cellStyle name="HSBC Report Total Main 5 2 9 2" xfId="4025" xr:uid="{00000000-0005-0000-0000-0000490F0000}"/>
    <cellStyle name="HSBC Report Total Main 5 3" xfId="4026" xr:uid="{00000000-0005-0000-0000-00004A0F0000}"/>
    <cellStyle name="HSBC Report Total Main 5 3 2" xfId="4027" xr:uid="{00000000-0005-0000-0000-00004B0F0000}"/>
    <cellStyle name="HSBC Report Total Main 5 3 2 2" xfId="4028" xr:uid="{00000000-0005-0000-0000-00004C0F0000}"/>
    <cellStyle name="HSBC Report Total Main 5 3 3" xfId="4029" xr:uid="{00000000-0005-0000-0000-00004D0F0000}"/>
    <cellStyle name="HSBC Report Total Main 5 3 3 2" xfId="4030" xr:uid="{00000000-0005-0000-0000-00004E0F0000}"/>
    <cellStyle name="HSBC Report Total Main 5 3 4" xfId="4031" xr:uid="{00000000-0005-0000-0000-00004F0F0000}"/>
    <cellStyle name="HSBC Report Total Main 5 4" xfId="4032" xr:uid="{00000000-0005-0000-0000-0000500F0000}"/>
    <cellStyle name="HSBC Report Total Main 5 4 2" xfId="4033" xr:uid="{00000000-0005-0000-0000-0000510F0000}"/>
    <cellStyle name="HSBC Report Total Main 5 5" xfId="4034" xr:uid="{00000000-0005-0000-0000-0000520F0000}"/>
    <cellStyle name="HSBC Report Total Main 5 5 2" xfId="4035" xr:uid="{00000000-0005-0000-0000-0000530F0000}"/>
    <cellStyle name="HSBC Report Total Main 5 6" xfId="4036" xr:uid="{00000000-0005-0000-0000-0000540F0000}"/>
    <cellStyle name="HSBC Report Total Main 5 6 2" xfId="4037" xr:uid="{00000000-0005-0000-0000-0000550F0000}"/>
    <cellStyle name="HSBC Report Total Main 5 7" xfId="4038" xr:uid="{00000000-0005-0000-0000-0000560F0000}"/>
    <cellStyle name="HSBC Report Total Main 5 7 2" xfId="4039" xr:uid="{00000000-0005-0000-0000-0000570F0000}"/>
    <cellStyle name="HSBC Report Total Main 5 8" xfId="4040" xr:uid="{00000000-0005-0000-0000-0000580F0000}"/>
    <cellStyle name="HSBC Report Total Main 5 8 2" xfId="4041" xr:uid="{00000000-0005-0000-0000-0000590F0000}"/>
    <cellStyle name="HSBC Report Total Main 5 9" xfId="4042" xr:uid="{00000000-0005-0000-0000-00005A0F0000}"/>
    <cellStyle name="HSBC Report Total Main 5 9 2" xfId="4043" xr:uid="{00000000-0005-0000-0000-00005B0F0000}"/>
    <cellStyle name="HSBC Report Total Main 6" xfId="4044" xr:uid="{00000000-0005-0000-0000-00005C0F0000}"/>
    <cellStyle name="HSBC Report Total Main 6 10" xfId="4045" xr:uid="{00000000-0005-0000-0000-00005D0F0000}"/>
    <cellStyle name="HSBC Report Total Main 6 10 2" xfId="4046" xr:uid="{00000000-0005-0000-0000-00005E0F0000}"/>
    <cellStyle name="HSBC Report Total Main 6 11" xfId="4047" xr:uid="{00000000-0005-0000-0000-00005F0F0000}"/>
    <cellStyle name="HSBC Report Total Main 6 11 2" xfId="4048" xr:uid="{00000000-0005-0000-0000-0000600F0000}"/>
    <cellStyle name="HSBC Report Total Main 6 12" xfId="4049" xr:uid="{00000000-0005-0000-0000-0000610F0000}"/>
    <cellStyle name="HSBC Report Total Main 6 12 2" xfId="4050" xr:uid="{00000000-0005-0000-0000-0000620F0000}"/>
    <cellStyle name="HSBC Report Total Main 6 13" xfId="4051" xr:uid="{00000000-0005-0000-0000-0000630F0000}"/>
    <cellStyle name="HSBC Report Total Main 6 13 2" xfId="4052" xr:uid="{00000000-0005-0000-0000-0000640F0000}"/>
    <cellStyle name="HSBC Report Total Main 6 14" xfId="4053" xr:uid="{00000000-0005-0000-0000-0000650F0000}"/>
    <cellStyle name="HSBC Report Total Main 6 14 2" xfId="4054" xr:uid="{00000000-0005-0000-0000-0000660F0000}"/>
    <cellStyle name="HSBC Report Total Main 6 15" xfId="4055" xr:uid="{00000000-0005-0000-0000-0000670F0000}"/>
    <cellStyle name="HSBC Report Total Main 6 15 2" xfId="4056" xr:uid="{00000000-0005-0000-0000-0000680F0000}"/>
    <cellStyle name="HSBC Report Total Main 6 16" xfId="4057" xr:uid="{00000000-0005-0000-0000-0000690F0000}"/>
    <cellStyle name="HSBC Report Total Main 6 16 2" xfId="4058" xr:uid="{00000000-0005-0000-0000-00006A0F0000}"/>
    <cellStyle name="HSBC Report Total Main 6 17" xfId="4059" xr:uid="{00000000-0005-0000-0000-00006B0F0000}"/>
    <cellStyle name="HSBC Report Total Main 6 2" xfId="4060" xr:uid="{00000000-0005-0000-0000-00006C0F0000}"/>
    <cellStyle name="HSBC Report Total Main 6 2 2" xfId="4061" xr:uid="{00000000-0005-0000-0000-00006D0F0000}"/>
    <cellStyle name="HSBC Report Total Main 6 2 2 2" xfId="4062" xr:uid="{00000000-0005-0000-0000-00006E0F0000}"/>
    <cellStyle name="HSBC Report Total Main 6 2 3" xfId="4063" xr:uid="{00000000-0005-0000-0000-00006F0F0000}"/>
    <cellStyle name="HSBC Report Total Main 6 2 3 2" xfId="4064" xr:uid="{00000000-0005-0000-0000-0000700F0000}"/>
    <cellStyle name="HSBC Report Total Main 6 2 4" xfId="4065" xr:uid="{00000000-0005-0000-0000-0000710F0000}"/>
    <cellStyle name="HSBC Report Total Main 6 3" xfId="4066" xr:uid="{00000000-0005-0000-0000-0000720F0000}"/>
    <cellStyle name="HSBC Report Total Main 6 3 2" xfId="4067" xr:uid="{00000000-0005-0000-0000-0000730F0000}"/>
    <cellStyle name="HSBC Report Total Main 6 3 2 2" xfId="4068" xr:uid="{00000000-0005-0000-0000-0000740F0000}"/>
    <cellStyle name="HSBC Report Total Main 6 3 3" xfId="4069" xr:uid="{00000000-0005-0000-0000-0000750F0000}"/>
    <cellStyle name="HSBC Report Total Main 6 3 3 2" xfId="4070" xr:uid="{00000000-0005-0000-0000-0000760F0000}"/>
    <cellStyle name="HSBC Report Total Main 6 3 4" xfId="4071" xr:uid="{00000000-0005-0000-0000-0000770F0000}"/>
    <cellStyle name="HSBC Report Total Main 6 4" xfId="4072" xr:uid="{00000000-0005-0000-0000-0000780F0000}"/>
    <cellStyle name="HSBC Report Total Main 6 4 2" xfId="4073" xr:uid="{00000000-0005-0000-0000-0000790F0000}"/>
    <cellStyle name="HSBC Report Total Main 6 5" xfId="4074" xr:uid="{00000000-0005-0000-0000-00007A0F0000}"/>
    <cellStyle name="HSBC Report Total Main 6 5 2" xfId="4075" xr:uid="{00000000-0005-0000-0000-00007B0F0000}"/>
    <cellStyle name="HSBC Report Total Main 6 6" xfId="4076" xr:uid="{00000000-0005-0000-0000-00007C0F0000}"/>
    <cellStyle name="HSBC Report Total Main 6 6 2" xfId="4077" xr:uid="{00000000-0005-0000-0000-00007D0F0000}"/>
    <cellStyle name="HSBC Report Total Main 6 7" xfId="4078" xr:uid="{00000000-0005-0000-0000-00007E0F0000}"/>
    <cellStyle name="HSBC Report Total Main 6 7 2" xfId="4079" xr:uid="{00000000-0005-0000-0000-00007F0F0000}"/>
    <cellStyle name="HSBC Report Total Main 6 8" xfId="4080" xr:uid="{00000000-0005-0000-0000-0000800F0000}"/>
    <cellStyle name="HSBC Report Total Main 6 8 2" xfId="4081" xr:uid="{00000000-0005-0000-0000-0000810F0000}"/>
    <cellStyle name="HSBC Report Total Main 6 9" xfId="4082" xr:uid="{00000000-0005-0000-0000-0000820F0000}"/>
    <cellStyle name="HSBC Report Total Main 6 9 2" xfId="4083" xr:uid="{00000000-0005-0000-0000-0000830F0000}"/>
    <cellStyle name="HSBC Report Total Main 7" xfId="4084" xr:uid="{00000000-0005-0000-0000-0000840F0000}"/>
    <cellStyle name="HSBC Report Total Main 7 10" xfId="4085" xr:uid="{00000000-0005-0000-0000-0000850F0000}"/>
    <cellStyle name="HSBC Report Total Main 7 10 2" xfId="4086" xr:uid="{00000000-0005-0000-0000-0000860F0000}"/>
    <cellStyle name="HSBC Report Total Main 7 11" xfId="4087" xr:uid="{00000000-0005-0000-0000-0000870F0000}"/>
    <cellStyle name="HSBC Report Total Main 7 11 2" xfId="4088" xr:uid="{00000000-0005-0000-0000-0000880F0000}"/>
    <cellStyle name="HSBC Report Total Main 7 12" xfId="4089" xr:uid="{00000000-0005-0000-0000-0000890F0000}"/>
    <cellStyle name="HSBC Report Total Main 7 12 2" xfId="4090" xr:uid="{00000000-0005-0000-0000-00008A0F0000}"/>
    <cellStyle name="HSBC Report Total Main 7 13" xfId="4091" xr:uid="{00000000-0005-0000-0000-00008B0F0000}"/>
    <cellStyle name="HSBC Report Total Main 7 13 2" xfId="4092" xr:uid="{00000000-0005-0000-0000-00008C0F0000}"/>
    <cellStyle name="HSBC Report Total Main 7 14" xfId="4093" xr:uid="{00000000-0005-0000-0000-00008D0F0000}"/>
    <cellStyle name="HSBC Report Total Main 7 14 2" xfId="4094" xr:uid="{00000000-0005-0000-0000-00008E0F0000}"/>
    <cellStyle name="HSBC Report Total Main 7 15" xfId="4095" xr:uid="{00000000-0005-0000-0000-00008F0F0000}"/>
    <cellStyle name="HSBC Report Total Main 7 15 2" xfId="4096" xr:uid="{00000000-0005-0000-0000-0000900F0000}"/>
    <cellStyle name="HSBC Report Total Main 7 16" xfId="4097" xr:uid="{00000000-0005-0000-0000-0000910F0000}"/>
    <cellStyle name="HSBC Report Total Main 7 16 2" xfId="4098" xr:uid="{00000000-0005-0000-0000-0000920F0000}"/>
    <cellStyle name="HSBC Report Total Main 7 17" xfId="4099" xr:uid="{00000000-0005-0000-0000-0000930F0000}"/>
    <cellStyle name="HSBC Report Total Main 7 2" xfId="4100" xr:uid="{00000000-0005-0000-0000-0000940F0000}"/>
    <cellStyle name="HSBC Report Total Main 7 2 2" xfId="4101" xr:uid="{00000000-0005-0000-0000-0000950F0000}"/>
    <cellStyle name="HSBC Report Total Main 7 2 2 2" xfId="4102" xr:uid="{00000000-0005-0000-0000-0000960F0000}"/>
    <cellStyle name="HSBC Report Total Main 7 2 3" xfId="4103" xr:uid="{00000000-0005-0000-0000-0000970F0000}"/>
    <cellStyle name="HSBC Report Total Main 7 2 3 2" xfId="4104" xr:uid="{00000000-0005-0000-0000-0000980F0000}"/>
    <cellStyle name="HSBC Report Total Main 7 2 4" xfId="4105" xr:uid="{00000000-0005-0000-0000-0000990F0000}"/>
    <cellStyle name="HSBC Report Total Main 7 3" xfId="4106" xr:uid="{00000000-0005-0000-0000-00009A0F0000}"/>
    <cellStyle name="HSBC Report Total Main 7 3 2" xfId="4107" xr:uid="{00000000-0005-0000-0000-00009B0F0000}"/>
    <cellStyle name="HSBC Report Total Main 7 3 2 2" xfId="4108" xr:uid="{00000000-0005-0000-0000-00009C0F0000}"/>
    <cellStyle name="HSBC Report Total Main 7 3 3" xfId="4109" xr:uid="{00000000-0005-0000-0000-00009D0F0000}"/>
    <cellStyle name="HSBC Report Total Main 7 3 3 2" xfId="4110" xr:uid="{00000000-0005-0000-0000-00009E0F0000}"/>
    <cellStyle name="HSBC Report Total Main 7 3 4" xfId="4111" xr:uid="{00000000-0005-0000-0000-00009F0F0000}"/>
    <cellStyle name="HSBC Report Total Main 7 4" xfId="4112" xr:uid="{00000000-0005-0000-0000-0000A00F0000}"/>
    <cellStyle name="HSBC Report Total Main 7 4 2" xfId="4113" xr:uid="{00000000-0005-0000-0000-0000A10F0000}"/>
    <cellStyle name="HSBC Report Total Main 7 5" xfId="4114" xr:uid="{00000000-0005-0000-0000-0000A20F0000}"/>
    <cellStyle name="HSBC Report Total Main 7 5 2" xfId="4115" xr:uid="{00000000-0005-0000-0000-0000A30F0000}"/>
    <cellStyle name="HSBC Report Total Main 7 6" xfId="4116" xr:uid="{00000000-0005-0000-0000-0000A40F0000}"/>
    <cellStyle name="HSBC Report Total Main 7 6 2" xfId="4117" xr:uid="{00000000-0005-0000-0000-0000A50F0000}"/>
    <cellStyle name="HSBC Report Total Main 7 7" xfId="4118" xr:uid="{00000000-0005-0000-0000-0000A60F0000}"/>
    <cellStyle name="HSBC Report Total Main 7 7 2" xfId="4119" xr:uid="{00000000-0005-0000-0000-0000A70F0000}"/>
    <cellStyle name="HSBC Report Total Main 7 8" xfId="4120" xr:uid="{00000000-0005-0000-0000-0000A80F0000}"/>
    <cellStyle name="HSBC Report Total Main 7 8 2" xfId="4121" xr:uid="{00000000-0005-0000-0000-0000A90F0000}"/>
    <cellStyle name="HSBC Report Total Main 7 9" xfId="4122" xr:uid="{00000000-0005-0000-0000-0000AA0F0000}"/>
    <cellStyle name="HSBC Report Total Main 7 9 2" xfId="4123" xr:uid="{00000000-0005-0000-0000-0000AB0F0000}"/>
    <cellStyle name="HSBC Report Total Main 8" xfId="4124" xr:uid="{00000000-0005-0000-0000-0000AC0F0000}"/>
    <cellStyle name="HSBC Report Total Main 8 2" xfId="4125" xr:uid="{00000000-0005-0000-0000-0000AD0F0000}"/>
    <cellStyle name="HSBC Report Total Main 8 2 2" xfId="4126" xr:uid="{00000000-0005-0000-0000-0000AE0F0000}"/>
    <cellStyle name="HSBC Report Total Main 8 2 2 2" xfId="4127" xr:uid="{00000000-0005-0000-0000-0000AF0F0000}"/>
    <cellStyle name="HSBC Report Total Main 8 2 3" xfId="4128" xr:uid="{00000000-0005-0000-0000-0000B00F0000}"/>
    <cellStyle name="HSBC Report Total Main 8 2 3 2" xfId="4129" xr:uid="{00000000-0005-0000-0000-0000B10F0000}"/>
    <cellStyle name="HSBC Report Total Main 8 2 4" xfId="4130" xr:uid="{00000000-0005-0000-0000-0000B20F0000}"/>
    <cellStyle name="HSBC Report Total Main 8 3" xfId="4131" xr:uid="{00000000-0005-0000-0000-0000B30F0000}"/>
    <cellStyle name="HSBC Report Total Main 8 3 2" xfId="4132" xr:uid="{00000000-0005-0000-0000-0000B40F0000}"/>
    <cellStyle name="HSBC Report Total Main 8 3 2 2" xfId="4133" xr:uid="{00000000-0005-0000-0000-0000B50F0000}"/>
    <cellStyle name="HSBC Report Total Main 8 3 3" xfId="4134" xr:uid="{00000000-0005-0000-0000-0000B60F0000}"/>
    <cellStyle name="HSBC Report Total Main 8 3 3 2" xfId="4135" xr:uid="{00000000-0005-0000-0000-0000B70F0000}"/>
    <cellStyle name="HSBC Report Total Main 8 3 4" xfId="4136" xr:uid="{00000000-0005-0000-0000-0000B80F0000}"/>
    <cellStyle name="HSBC Report Total Main 8 4" xfId="4137" xr:uid="{00000000-0005-0000-0000-0000B90F0000}"/>
    <cellStyle name="HSBC Report Total Main 8 4 2" xfId="4138" xr:uid="{00000000-0005-0000-0000-0000BA0F0000}"/>
    <cellStyle name="HSBC Report Total Main 8 5" xfId="4139" xr:uid="{00000000-0005-0000-0000-0000BB0F0000}"/>
    <cellStyle name="HSBC Report Total Main 8 5 2" xfId="4140" xr:uid="{00000000-0005-0000-0000-0000BC0F0000}"/>
    <cellStyle name="HSBC Report Total Main 8 6" xfId="4141" xr:uid="{00000000-0005-0000-0000-0000BD0F0000}"/>
    <cellStyle name="HSBC Report Total Main 9" xfId="4142" xr:uid="{00000000-0005-0000-0000-0000BE0F0000}"/>
    <cellStyle name="HSBC Report Total Main 9 2" xfId="4143" xr:uid="{00000000-0005-0000-0000-0000BF0F0000}"/>
    <cellStyle name="HSBC Report Total Main 9 2 2" xfId="4144" xr:uid="{00000000-0005-0000-0000-0000C00F0000}"/>
    <cellStyle name="HSBC Report Total Main 9 3" xfId="4145" xr:uid="{00000000-0005-0000-0000-0000C10F0000}"/>
    <cellStyle name="HSBC Report Total Main 9 3 2" xfId="4146" xr:uid="{00000000-0005-0000-0000-0000C20F0000}"/>
    <cellStyle name="HSBC Report Total Main 9 4" xfId="4147" xr:uid="{00000000-0005-0000-0000-0000C30F0000}"/>
    <cellStyle name="HSBC Title Main" xfId="4148" xr:uid="{00000000-0005-0000-0000-0000C40F0000}"/>
    <cellStyle name="HSBC Title Main Sub" xfId="4149" xr:uid="{00000000-0005-0000-0000-0000C50F0000}"/>
    <cellStyle name="HSBC Title Module" xfId="4150" xr:uid="{00000000-0005-0000-0000-0000C60F0000}"/>
    <cellStyle name="HSBC WK Date" xfId="4151" xr:uid="{00000000-0005-0000-0000-0000C70F0000}"/>
    <cellStyle name="HSBC WK Date 2" xfId="4152" xr:uid="{00000000-0005-0000-0000-0000C80F0000}"/>
    <cellStyle name="HSBC WK Logical 1" xfId="4153" xr:uid="{00000000-0005-0000-0000-0000C90F0000}"/>
    <cellStyle name="HSBC WK Number 1" xfId="4154" xr:uid="{00000000-0005-0000-0000-0000CA0F0000}"/>
    <cellStyle name="HSBC WK Number 1 10" xfId="4155" xr:uid="{00000000-0005-0000-0000-0000CB0F0000}"/>
    <cellStyle name="HSBC WK Number 1 11" xfId="4156" xr:uid="{00000000-0005-0000-0000-0000CC0F0000}"/>
    <cellStyle name="HSBC WK Number 1 12" xfId="4157" xr:uid="{00000000-0005-0000-0000-0000CD0F0000}"/>
    <cellStyle name="HSBC WK Number 1 13" xfId="4158" xr:uid="{00000000-0005-0000-0000-0000CE0F0000}"/>
    <cellStyle name="HSBC WK Number 1 14" xfId="4159" xr:uid="{00000000-0005-0000-0000-0000CF0F0000}"/>
    <cellStyle name="HSBC WK Number 1 15" xfId="4160" xr:uid="{00000000-0005-0000-0000-0000D00F0000}"/>
    <cellStyle name="HSBC WK Number 1 16" xfId="4161" xr:uid="{00000000-0005-0000-0000-0000D10F0000}"/>
    <cellStyle name="HSBC WK Number 1 17" xfId="4162" xr:uid="{00000000-0005-0000-0000-0000D20F0000}"/>
    <cellStyle name="HSBC WK Number 1 18" xfId="4163" xr:uid="{00000000-0005-0000-0000-0000D30F0000}"/>
    <cellStyle name="HSBC WK Number 1 19" xfId="4164" xr:uid="{00000000-0005-0000-0000-0000D40F0000}"/>
    <cellStyle name="HSBC WK Number 1 2" xfId="4165" xr:uid="{00000000-0005-0000-0000-0000D50F0000}"/>
    <cellStyle name="HSBC WK Number 1 20" xfId="4166" xr:uid="{00000000-0005-0000-0000-0000D60F0000}"/>
    <cellStyle name="HSBC WK Number 1 21" xfId="4167" xr:uid="{00000000-0005-0000-0000-0000D70F0000}"/>
    <cellStyle name="HSBC WK Number 1 22" xfId="4168" xr:uid="{00000000-0005-0000-0000-0000D80F0000}"/>
    <cellStyle name="HSBC WK Number 1 23" xfId="4169" xr:uid="{00000000-0005-0000-0000-0000D90F0000}"/>
    <cellStyle name="HSBC WK Number 1 24" xfId="4170" xr:uid="{00000000-0005-0000-0000-0000DA0F0000}"/>
    <cellStyle name="HSBC WK Number 1 3" xfId="4171" xr:uid="{00000000-0005-0000-0000-0000DB0F0000}"/>
    <cellStyle name="HSBC WK Number 1 4" xfId="4172" xr:uid="{00000000-0005-0000-0000-0000DC0F0000}"/>
    <cellStyle name="HSBC WK Number 1 5" xfId="4173" xr:uid="{00000000-0005-0000-0000-0000DD0F0000}"/>
    <cellStyle name="HSBC WK Number 1 6" xfId="4174" xr:uid="{00000000-0005-0000-0000-0000DE0F0000}"/>
    <cellStyle name="HSBC WK Number 1 7" xfId="4175" xr:uid="{00000000-0005-0000-0000-0000DF0F0000}"/>
    <cellStyle name="HSBC WK Number 1 8" xfId="4176" xr:uid="{00000000-0005-0000-0000-0000E00F0000}"/>
    <cellStyle name="HSBC WK Number 1 9" xfId="4177" xr:uid="{00000000-0005-0000-0000-0000E10F0000}"/>
    <cellStyle name="HSBC WK Number 2" xfId="4178" xr:uid="{00000000-0005-0000-0000-0000E20F0000}"/>
    <cellStyle name="HSBC WK Number 2 T" xfId="4179" xr:uid="{00000000-0005-0000-0000-0000E30F0000}"/>
    <cellStyle name="HSBC WK Percent" xfId="4180" xr:uid="{00000000-0005-0000-0000-0000E40F0000}"/>
    <cellStyle name="HSBC WK Ratios" xfId="4181" xr:uid="{00000000-0005-0000-0000-0000E50F0000}"/>
    <cellStyle name="HSBC WK Year Format" xfId="4182" xr:uid="{00000000-0005-0000-0000-0000E60F0000}"/>
    <cellStyle name="Hyperlink" xfId="210" builtinId="8"/>
    <cellStyle name="Hyperlink 2" xfId="96" xr:uid="{00000000-0005-0000-0000-0000E80F0000}"/>
    <cellStyle name="Hyperlink 2 2" xfId="4183" xr:uid="{00000000-0005-0000-0000-0000E90F0000}"/>
    <cellStyle name="Hyperlink 2 3" xfId="4184" xr:uid="{00000000-0005-0000-0000-0000EA0F0000}"/>
    <cellStyle name="Hyperlink 2 4" xfId="4185" xr:uid="{00000000-0005-0000-0000-0000EB0F0000}"/>
    <cellStyle name="Hyperlink 2 5" xfId="4186" xr:uid="{00000000-0005-0000-0000-0000EC0F0000}"/>
    <cellStyle name="Hyperlink 3" xfId="4187" xr:uid="{00000000-0005-0000-0000-0000ED0F0000}"/>
    <cellStyle name="Incorrecto" xfId="4188" xr:uid="{00000000-0005-0000-0000-0000EE0F0000}"/>
    <cellStyle name="Input" xfId="17" builtinId="20" customBuiltin="1"/>
    <cellStyle name="Input 2" xfId="97" xr:uid="{00000000-0005-0000-0000-0000F00F0000}"/>
    <cellStyle name="Input 2 10" xfId="4189" xr:uid="{00000000-0005-0000-0000-0000F10F0000}"/>
    <cellStyle name="Input 2 10 2" xfId="4190" xr:uid="{00000000-0005-0000-0000-0000F20F0000}"/>
    <cellStyle name="Input 2 11" xfId="4191" xr:uid="{00000000-0005-0000-0000-0000F30F0000}"/>
    <cellStyle name="Input 2 11 2" xfId="4192" xr:uid="{00000000-0005-0000-0000-0000F40F0000}"/>
    <cellStyle name="Input 2 12" xfId="4193" xr:uid="{00000000-0005-0000-0000-0000F50F0000}"/>
    <cellStyle name="Input 2 12 2" xfId="4194" xr:uid="{00000000-0005-0000-0000-0000F60F0000}"/>
    <cellStyle name="Input 2 13" xfId="4195" xr:uid="{00000000-0005-0000-0000-0000F70F0000}"/>
    <cellStyle name="Input 2 13 2" xfId="4196" xr:uid="{00000000-0005-0000-0000-0000F80F0000}"/>
    <cellStyle name="Input 2 14" xfId="4197" xr:uid="{00000000-0005-0000-0000-0000F90F0000}"/>
    <cellStyle name="Input 2 14 2" xfId="4198" xr:uid="{00000000-0005-0000-0000-0000FA0F0000}"/>
    <cellStyle name="Input 2 15" xfId="4199" xr:uid="{00000000-0005-0000-0000-0000FB0F0000}"/>
    <cellStyle name="Input 2 15 2" xfId="4200" xr:uid="{00000000-0005-0000-0000-0000FC0F0000}"/>
    <cellStyle name="Input 2 16" xfId="4201" xr:uid="{00000000-0005-0000-0000-0000FD0F0000}"/>
    <cellStyle name="Input 2 16 2" xfId="4202" xr:uid="{00000000-0005-0000-0000-0000FE0F0000}"/>
    <cellStyle name="Input 2 17" xfId="4203" xr:uid="{00000000-0005-0000-0000-0000FF0F0000}"/>
    <cellStyle name="Input 2 2" xfId="4204" xr:uid="{00000000-0005-0000-0000-000000100000}"/>
    <cellStyle name="Input 2 2 2" xfId="4205" xr:uid="{00000000-0005-0000-0000-000001100000}"/>
    <cellStyle name="Input 2 2 2 2" xfId="4206" xr:uid="{00000000-0005-0000-0000-000002100000}"/>
    <cellStyle name="Input 2 2 2 3" xfId="4207" xr:uid="{00000000-0005-0000-0000-000003100000}"/>
    <cellStyle name="Input 2 2 3" xfId="4208" xr:uid="{00000000-0005-0000-0000-000004100000}"/>
    <cellStyle name="Input 2 2 4" xfId="4209" xr:uid="{00000000-0005-0000-0000-000005100000}"/>
    <cellStyle name="Input 2 2 4 2" xfId="4210" xr:uid="{00000000-0005-0000-0000-000006100000}"/>
    <cellStyle name="Input 2 2 5" xfId="4211" xr:uid="{00000000-0005-0000-0000-000007100000}"/>
    <cellStyle name="Input 2 2 5 2" xfId="4212" xr:uid="{00000000-0005-0000-0000-000008100000}"/>
    <cellStyle name="Input 2 2 6" xfId="4213" xr:uid="{00000000-0005-0000-0000-000009100000}"/>
    <cellStyle name="Input 2 3" xfId="4214" xr:uid="{00000000-0005-0000-0000-00000A100000}"/>
    <cellStyle name="Input 2 4" xfId="4215" xr:uid="{00000000-0005-0000-0000-00000B100000}"/>
    <cellStyle name="Input 2 4 2" xfId="4216" xr:uid="{00000000-0005-0000-0000-00000C100000}"/>
    <cellStyle name="Input 2 4 2 2" xfId="4217" xr:uid="{00000000-0005-0000-0000-00000D100000}"/>
    <cellStyle name="Input 2 4 3" xfId="4218" xr:uid="{00000000-0005-0000-0000-00000E100000}"/>
    <cellStyle name="Input 2 4 3 2" xfId="4219" xr:uid="{00000000-0005-0000-0000-00000F100000}"/>
    <cellStyle name="Input 2 4 4" xfId="4220" xr:uid="{00000000-0005-0000-0000-000010100000}"/>
    <cellStyle name="Input 2 5" xfId="4221" xr:uid="{00000000-0005-0000-0000-000011100000}"/>
    <cellStyle name="Input 2 5 2" xfId="4222" xr:uid="{00000000-0005-0000-0000-000012100000}"/>
    <cellStyle name="Input 2 6" xfId="4223" xr:uid="{00000000-0005-0000-0000-000013100000}"/>
    <cellStyle name="Input 2 6 2" xfId="4224" xr:uid="{00000000-0005-0000-0000-000014100000}"/>
    <cellStyle name="Input 2 7" xfId="4225" xr:uid="{00000000-0005-0000-0000-000015100000}"/>
    <cellStyle name="Input 2 7 2" xfId="4226" xr:uid="{00000000-0005-0000-0000-000016100000}"/>
    <cellStyle name="Input 2 8" xfId="4227" xr:uid="{00000000-0005-0000-0000-000017100000}"/>
    <cellStyle name="Input 2 8 2" xfId="4228" xr:uid="{00000000-0005-0000-0000-000018100000}"/>
    <cellStyle name="Input 2 9" xfId="4229" xr:uid="{00000000-0005-0000-0000-000019100000}"/>
    <cellStyle name="Input 2 9 2" xfId="4230" xr:uid="{00000000-0005-0000-0000-00001A100000}"/>
    <cellStyle name="Input 3" xfId="4231" xr:uid="{00000000-0005-0000-0000-00001B100000}"/>
    <cellStyle name="Input 3 2" xfId="4232" xr:uid="{00000000-0005-0000-0000-00001C100000}"/>
    <cellStyle name="Input 3 2 2" xfId="4233" xr:uid="{00000000-0005-0000-0000-00001D100000}"/>
    <cellStyle name="Input 3 2 2 2" xfId="4234" xr:uid="{00000000-0005-0000-0000-00001E100000}"/>
    <cellStyle name="Input 3 2 3" xfId="4235" xr:uid="{00000000-0005-0000-0000-00001F100000}"/>
    <cellStyle name="Input 3 2 3 2" xfId="4236" xr:uid="{00000000-0005-0000-0000-000020100000}"/>
    <cellStyle name="Input 3 2 4" xfId="4237" xr:uid="{00000000-0005-0000-0000-000021100000}"/>
    <cellStyle name="Input 3 3" xfId="4238" xr:uid="{00000000-0005-0000-0000-000022100000}"/>
    <cellStyle name="Input 3 3 2" xfId="4239" xr:uid="{00000000-0005-0000-0000-000023100000}"/>
    <cellStyle name="Input 3 3 2 2" xfId="4240" xr:uid="{00000000-0005-0000-0000-000024100000}"/>
    <cellStyle name="Input 3 3 3" xfId="4241" xr:uid="{00000000-0005-0000-0000-000025100000}"/>
    <cellStyle name="Input 3 3 3 2" xfId="4242" xr:uid="{00000000-0005-0000-0000-000026100000}"/>
    <cellStyle name="Input 3 3 4" xfId="4243" xr:uid="{00000000-0005-0000-0000-000027100000}"/>
    <cellStyle name="Input 3 4" xfId="4244" xr:uid="{00000000-0005-0000-0000-000028100000}"/>
    <cellStyle name="Input 3 4 2" xfId="4245" xr:uid="{00000000-0005-0000-0000-000029100000}"/>
    <cellStyle name="Input 3 5" xfId="4246" xr:uid="{00000000-0005-0000-0000-00002A100000}"/>
    <cellStyle name="Input 3 5 2" xfId="4247" xr:uid="{00000000-0005-0000-0000-00002B100000}"/>
    <cellStyle name="Input 3 6" xfId="4248" xr:uid="{00000000-0005-0000-0000-00002C100000}"/>
    <cellStyle name="Input 4" xfId="4249" xr:uid="{00000000-0005-0000-0000-00002D100000}"/>
    <cellStyle name="Input 4 2" xfId="4250" xr:uid="{00000000-0005-0000-0000-00002E100000}"/>
    <cellStyle name="Input 4 2 2" xfId="4251" xr:uid="{00000000-0005-0000-0000-00002F100000}"/>
    <cellStyle name="Input 4 2 2 2" xfId="4252" xr:uid="{00000000-0005-0000-0000-000030100000}"/>
    <cellStyle name="Input 4 2 3" xfId="4253" xr:uid="{00000000-0005-0000-0000-000031100000}"/>
    <cellStyle name="Input 4 2 3 2" xfId="4254" xr:uid="{00000000-0005-0000-0000-000032100000}"/>
    <cellStyle name="Input 4 2 4" xfId="4255" xr:uid="{00000000-0005-0000-0000-000033100000}"/>
    <cellStyle name="Input 4 3" xfId="4256" xr:uid="{00000000-0005-0000-0000-000034100000}"/>
    <cellStyle name="Input 4 3 2" xfId="4257" xr:uid="{00000000-0005-0000-0000-000035100000}"/>
    <cellStyle name="Input 4 3 2 2" xfId="4258" xr:uid="{00000000-0005-0000-0000-000036100000}"/>
    <cellStyle name="Input 4 3 3" xfId="4259" xr:uid="{00000000-0005-0000-0000-000037100000}"/>
    <cellStyle name="Input 4 3 3 2" xfId="4260" xr:uid="{00000000-0005-0000-0000-000038100000}"/>
    <cellStyle name="Input 4 3 4" xfId="4261" xr:uid="{00000000-0005-0000-0000-000039100000}"/>
    <cellStyle name="Input 4 4" xfId="4262" xr:uid="{00000000-0005-0000-0000-00003A100000}"/>
    <cellStyle name="Input 4 4 2" xfId="4263" xr:uid="{00000000-0005-0000-0000-00003B100000}"/>
    <cellStyle name="Input 4 5" xfId="4264" xr:uid="{00000000-0005-0000-0000-00003C100000}"/>
    <cellStyle name="Input 4 5 2" xfId="4265" xr:uid="{00000000-0005-0000-0000-00003D100000}"/>
    <cellStyle name="Input 5" xfId="4266" xr:uid="{00000000-0005-0000-0000-00003E100000}"/>
    <cellStyle name="Input 5 2" xfId="4267" xr:uid="{00000000-0005-0000-0000-00003F100000}"/>
    <cellStyle name="Input 5 2 2" xfId="4268" xr:uid="{00000000-0005-0000-0000-000040100000}"/>
    <cellStyle name="Input 5 3" xfId="4269" xr:uid="{00000000-0005-0000-0000-000041100000}"/>
    <cellStyle name="Input 5 3 2" xfId="4270" xr:uid="{00000000-0005-0000-0000-000042100000}"/>
    <cellStyle name="Input 5 4" xfId="4271" xr:uid="{00000000-0005-0000-0000-000043100000}"/>
    <cellStyle name="Input 6" xfId="4272" xr:uid="{00000000-0005-0000-0000-000044100000}"/>
    <cellStyle name="Input 6 2" xfId="4273" xr:uid="{00000000-0005-0000-0000-000045100000}"/>
    <cellStyle name="Input 7" xfId="4274" xr:uid="{00000000-0005-0000-0000-000046100000}"/>
    <cellStyle name="Input 7 2" xfId="4275" xr:uid="{00000000-0005-0000-0000-000047100000}"/>
    <cellStyle name="Input 8" xfId="4276" xr:uid="{00000000-0005-0000-0000-000048100000}"/>
    <cellStyle name="Level 1" xfId="4277" xr:uid="{00000000-0005-0000-0000-000049100000}"/>
    <cellStyle name="Level 2" xfId="4278" xr:uid="{00000000-0005-0000-0000-00004A100000}"/>
    <cellStyle name="Linked Cell" xfId="20" builtinId="24" customBuiltin="1"/>
    <cellStyle name="Linked Cell 2" xfId="98" xr:uid="{00000000-0005-0000-0000-00004C100000}"/>
    <cellStyle name="Linked Cell 2 10" xfId="4279" xr:uid="{00000000-0005-0000-0000-00004D100000}"/>
    <cellStyle name="Linked Cell 2 11" xfId="4280" xr:uid="{00000000-0005-0000-0000-00004E100000}"/>
    <cellStyle name="Linked Cell 2 12" xfId="4281" xr:uid="{00000000-0005-0000-0000-00004F100000}"/>
    <cellStyle name="Linked Cell 2 13" xfId="4282" xr:uid="{00000000-0005-0000-0000-000050100000}"/>
    <cellStyle name="Linked Cell 2 14" xfId="4283" xr:uid="{00000000-0005-0000-0000-000051100000}"/>
    <cellStyle name="Linked Cell 2 15" xfId="4284" xr:uid="{00000000-0005-0000-0000-000052100000}"/>
    <cellStyle name="Linked Cell 2 16" xfId="4285" xr:uid="{00000000-0005-0000-0000-000053100000}"/>
    <cellStyle name="Linked Cell 2 17" xfId="4286" xr:uid="{00000000-0005-0000-0000-000054100000}"/>
    <cellStyle name="Linked Cell 2 2" xfId="4287" xr:uid="{00000000-0005-0000-0000-000055100000}"/>
    <cellStyle name="Linked Cell 2 2 2" xfId="4288" xr:uid="{00000000-0005-0000-0000-000056100000}"/>
    <cellStyle name="Linked Cell 2 2 2 2" xfId="4289" xr:uid="{00000000-0005-0000-0000-000057100000}"/>
    <cellStyle name="Linked Cell 2 2 2 3" xfId="4290" xr:uid="{00000000-0005-0000-0000-000058100000}"/>
    <cellStyle name="Linked Cell 2 2 3" xfId="4291" xr:uid="{00000000-0005-0000-0000-000059100000}"/>
    <cellStyle name="Linked Cell 2 2 4" xfId="4292" xr:uid="{00000000-0005-0000-0000-00005A100000}"/>
    <cellStyle name="Linked Cell 2 3" xfId="4293" xr:uid="{00000000-0005-0000-0000-00005B100000}"/>
    <cellStyle name="Linked Cell 2 4" xfId="4294" xr:uid="{00000000-0005-0000-0000-00005C100000}"/>
    <cellStyle name="Linked Cell 2 5" xfId="4295" xr:uid="{00000000-0005-0000-0000-00005D100000}"/>
    <cellStyle name="Linked Cell 2 6" xfId="4296" xr:uid="{00000000-0005-0000-0000-00005E100000}"/>
    <cellStyle name="Linked Cell 2 7" xfId="4297" xr:uid="{00000000-0005-0000-0000-00005F100000}"/>
    <cellStyle name="Linked Cell 2 8" xfId="4298" xr:uid="{00000000-0005-0000-0000-000060100000}"/>
    <cellStyle name="Linked Cell 2 9" xfId="4299" xr:uid="{00000000-0005-0000-0000-000061100000}"/>
    <cellStyle name="Linked Cell 3" xfId="4300" xr:uid="{00000000-0005-0000-0000-000062100000}"/>
    <cellStyle name="Linked Cell 3 2" xfId="4301" xr:uid="{00000000-0005-0000-0000-000063100000}"/>
    <cellStyle name="Linked Cell 3 3" xfId="4302" xr:uid="{00000000-0005-0000-0000-000064100000}"/>
    <cellStyle name="Linked Cell 4" xfId="4303" xr:uid="{00000000-0005-0000-0000-000065100000}"/>
    <cellStyle name="Millions" xfId="4304" xr:uid="{00000000-0005-0000-0000-000066100000}"/>
    <cellStyle name="Millions 10" xfId="4305" xr:uid="{00000000-0005-0000-0000-000067100000}"/>
    <cellStyle name="Millions 11" xfId="4306" xr:uid="{00000000-0005-0000-0000-000068100000}"/>
    <cellStyle name="Millions 12" xfId="4307" xr:uid="{00000000-0005-0000-0000-000069100000}"/>
    <cellStyle name="Millions 13" xfId="4308" xr:uid="{00000000-0005-0000-0000-00006A100000}"/>
    <cellStyle name="Millions 14" xfId="4309" xr:uid="{00000000-0005-0000-0000-00006B100000}"/>
    <cellStyle name="Millions 15" xfId="4310" xr:uid="{00000000-0005-0000-0000-00006C100000}"/>
    <cellStyle name="Millions 16" xfId="4311" xr:uid="{00000000-0005-0000-0000-00006D100000}"/>
    <cellStyle name="Millions 17" xfId="4312" xr:uid="{00000000-0005-0000-0000-00006E100000}"/>
    <cellStyle name="Millions 18" xfId="4313" xr:uid="{00000000-0005-0000-0000-00006F100000}"/>
    <cellStyle name="Millions 19" xfId="4314" xr:uid="{00000000-0005-0000-0000-000070100000}"/>
    <cellStyle name="Millions 2" xfId="4315" xr:uid="{00000000-0005-0000-0000-000071100000}"/>
    <cellStyle name="Millions 20" xfId="4316" xr:uid="{00000000-0005-0000-0000-000072100000}"/>
    <cellStyle name="Millions 21" xfId="4317" xr:uid="{00000000-0005-0000-0000-000073100000}"/>
    <cellStyle name="Millions 22" xfId="4318" xr:uid="{00000000-0005-0000-0000-000074100000}"/>
    <cellStyle name="Millions 23" xfId="4319" xr:uid="{00000000-0005-0000-0000-000075100000}"/>
    <cellStyle name="Millions 24" xfId="4320" xr:uid="{00000000-0005-0000-0000-000076100000}"/>
    <cellStyle name="Millions 3" xfId="4321" xr:uid="{00000000-0005-0000-0000-000077100000}"/>
    <cellStyle name="Millions 4" xfId="4322" xr:uid="{00000000-0005-0000-0000-000078100000}"/>
    <cellStyle name="Millions 5" xfId="4323" xr:uid="{00000000-0005-0000-0000-000079100000}"/>
    <cellStyle name="Millions 6" xfId="4324" xr:uid="{00000000-0005-0000-0000-00007A100000}"/>
    <cellStyle name="Millions 7" xfId="4325" xr:uid="{00000000-0005-0000-0000-00007B100000}"/>
    <cellStyle name="Millions 8" xfId="4326" xr:uid="{00000000-0005-0000-0000-00007C100000}"/>
    <cellStyle name="Millions 9" xfId="4327" xr:uid="{00000000-0005-0000-0000-00007D100000}"/>
    <cellStyle name="Money" xfId="4328" xr:uid="{00000000-0005-0000-0000-00007E100000}"/>
    <cellStyle name="Money 10" xfId="4329" xr:uid="{00000000-0005-0000-0000-00007F100000}"/>
    <cellStyle name="Money 11" xfId="4330" xr:uid="{00000000-0005-0000-0000-000080100000}"/>
    <cellStyle name="Money 12" xfId="4331" xr:uid="{00000000-0005-0000-0000-000081100000}"/>
    <cellStyle name="Money 13" xfId="4332" xr:uid="{00000000-0005-0000-0000-000082100000}"/>
    <cellStyle name="Money 14" xfId="4333" xr:uid="{00000000-0005-0000-0000-000083100000}"/>
    <cellStyle name="Money 15" xfId="4334" xr:uid="{00000000-0005-0000-0000-000084100000}"/>
    <cellStyle name="Money 16" xfId="4335" xr:uid="{00000000-0005-0000-0000-000085100000}"/>
    <cellStyle name="Money 17" xfId="4336" xr:uid="{00000000-0005-0000-0000-000086100000}"/>
    <cellStyle name="Money 18" xfId="4337" xr:uid="{00000000-0005-0000-0000-000087100000}"/>
    <cellStyle name="Money 19" xfId="4338" xr:uid="{00000000-0005-0000-0000-000088100000}"/>
    <cellStyle name="Money 2" xfId="4339" xr:uid="{00000000-0005-0000-0000-000089100000}"/>
    <cellStyle name="Money 20" xfId="4340" xr:uid="{00000000-0005-0000-0000-00008A100000}"/>
    <cellStyle name="Money 21" xfId="4341" xr:uid="{00000000-0005-0000-0000-00008B100000}"/>
    <cellStyle name="Money 22" xfId="4342" xr:uid="{00000000-0005-0000-0000-00008C100000}"/>
    <cellStyle name="Money 23" xfId="4343" xr:uid="{00000000-0005-0000-0000-00008D100000}"/>
    <cellStyle name="Money 24" xfId="4344" xr:uid="{00000000-0005-0000-0000-00008E100000}"/>
    <cellStyle name="Money 3" xfId="4345" xr:uid="{00000000-0005-0000-0000-00008F100000}"/>
    <cellStyle name="Money 4" xfId="4346" xr:uid="{00000000-0005-0000-0000-000090100000}"/>
    <cellStyle name="Money 5" xfId="4347" xr:uid="{00000000-0005-0000-0000-000091100000}"/>
    <cellStyle name="Money 6" xfId="4348" xr:uid="{00000000-0005-0000-0000-000092100000}"/>
    <cellStyle name="Money 7" xfId="4349" xr:uid="{00000000-0005-0000-0000-000093100000}"/>
    <cellStyle name="Money 8" xfId="4350" xr:uid="{00000000-0005-0000-0000-000094100000}"/>
    <cellStyle name="Money 9" xfId="4351" xr:uid="{00000000-0005-0000-0000-000095100000}"/>
    <cellStyle name="Multiple" xfId="4352" xr:uid="{00000000-0005-0000-0000-000096100000}"/>
    <cellStyle name="Neutral" xfId="16" builtinId="28" customBuiltin="1"/>
    <cellStyle name="Neutral 2" xfId="99" xr:uid="{00000000-0005-0000-0000-000098100000}"/>
    <cellStyle name="Neutral 2 10" xfId="4353" xr:uid="{00000000-0005-0000-0000-000099100000}"/>
    <cellStyle name="Neutral 2 11" xfId="4354" xr:uid="{00000000-0005-0000-0000-00009A100000}"/>
    <cellStyle name="Neutral 2 12" xfId="4355" xr:uid="{00000000-0005-0000-0000-00009B100000}"/>
    <cellStyle name="Neutral 2 13" xfId="4356" xr:uid="{00000000-0005-0000-0000-00009C100000}"/>
    <cellStyle name="Neutral 2 14" xfId="4357" xr:uid="{00000000-0005-0000-0000-00009D100000}"/>
    <cellStyle name="Neutral 2 15" xfId="4358" xr:uid="{00000000-0005-0000-0000-00009E100000}"/>
    <cellStyle name="Neutral 2 16" xfId="4359" xr:uid="{00000000-0005-0000-0000-00009F100000}"/>
    <cellStyle name="Neutral 2 17" xfId="4360" xr:uid="{00000000-0005-0000-0000-0000A0100000}"/>
    <cellStyle name="Neutral 2 2" xfId="4361" xr:uid="{00000000-0005-0000-0000-0000A1100000}"/>
    <cellStyle name="Neutral 2 2 2" xfId="4362" xr:uid="{00000000-0005-0000-0000-0000A2100000}"/>
    <cellStyle name="Neutral 2 2 2 2" xfId="4363" xr:uid="{00000000-0005-0000-0000-0000A3100000}"/>
    <cellStyle name="Neutral 2 2 2 3" xfId="4364" xr:uid="{00000000-0005-0000-0000-0000A4100000}"/>
    <cellStyle name="Neutral 2 2 3" xfId="4365" xr:uid="{00000000-0005-0000-0000-0000A5100000}"/>
    <cellStyle name="Neutral 2 2 4" xfId="4366" xr:uid="{00000000-0005-0000-0000-0000A6100000}"/>
    <cellStyle name="Neutral 2 3" xfId="4367" xr:uid="{00000000-0005-0000-0000-0000A7100000}"/>
    <cellStyle name="Neutral 2 4" xfId="4368" xr:uid="{00000000-0005-0000-0000-0000A8100000}"/>
    <cellStyle name="Neutral 2 5" xfId="4369" xr:uid="{00000000-0005-0000-0000-0000A9100000}"/>
    <cellStyle name="Neutral 2 6" xfId="4370" xr:uid="{00000000-0005-0000-0000-0000AA100000}"/>
    <cellStyle name="Neutral 2 7" xfId="4371" xr:uid="{00000000-0005-0000-0000-0000AB100000}"/>
    <cellStyle name="Neutral 2 8" xfId="4372" xr:uid="{00000000-0005-0000-0000-0000AC100000}"/>
    <cellStyle name="Neutral 2 9" xfId="4373" xr:uid="{00000000-0005-0000-0000-0000AD100000}"/>
    <cellStyle name="Neutral 3" xfId="4374" xr:uid="{00000000-0005-0000-0000-0000AE100000}"/>
    <cellStyle name="Neutral 3 2" xfId="4375" xr:uid="{00000000-0005-0000-0000-0000AF100000}"/>
    <cellStyle name="Neutral 3 3" xfId="4376" xr:uid="{00000000-0005-0000-0000-0000B0100000}"/>
    <cellStyle name="Neutral 4" xfId="4377" xr:uid="{00000000-0005-0000-0000-0000B1100000}"/>
    <cellStyle name="Normal" xfId="0" builtinId="0"/>
    <cellStyle name="Normal 10" xfId="100" xr:uid="{00000000-0005-0000-0000-0000B3100000}"/>
    <cellStyle name="Normal 10 10" xfId="4378" xr:uid="{00000000-0005-0000-0000-0000B4100000}"/>
    <cellStyle name="Normal 10 11" xfId="4379" xr:uid="{00000000-0005-0000-0000-0000B5100000}"/>
    <cellStyle name="Normal 10 12" xfId="4380" xr:uid="{00000000-0005-0000-0000-0000B6100000}"/>
    <cellStyle name="Normal 10 13" xfId="4381" xr:uid="{00000000-0005-0000-0000-0000B7100000}"/>
    <cellStyle name="Normal 10 14" xfId="4382" xr:uid="{00000000-0005-0000-0000-0000B8100000}"/>
    <cellStyle name="Normal 10 15" xfId="4383" xr:uid="{00000000-0005-0000-0000-0000B9100000}"/>
    <cellStyle name="Normal 10 16" xfId="4384" xr:uid="{00000000-0005-0000-0000-0000BA100000}"/>
    <cellStyle name="Normal 10 17" xfId="4385" xr:uid="{00000000-0005-0000-0000-0000BB100000}"/>
    <cellStyle name="Normal 10 18" xfId="4386" xr:uid="{00000000-0005-0000-0000-0000BC100000}"/>
    <cellStyle name="Normal 10 19" xfId="4387" xr:uid="{00000000-0005-0000-0000-0000BD100000}"/>
    <cellStyle name="Normal 10 2" xfId="4388" xr:uid="{00000000-0005-0000-0000-0000BE100000}"/>
    <cellStyle name="Normal 10 2 10" xfId="4389" xr:uid="{00000000-0005-0000-0000-0000BF100000}"/>
    <cellStyle name="Normal 10 2 11" xfId="4390" xr:uid="{00000000-0005-0000-0000-0000C0100000}"/>
    <cellStyle name="Normal 10 2 12" xfId="4391" xr:uid="{00000000-0005-0000-0000-0000C1100000}"/>
    <cellStyle name="Normal 10 2 13" xfId="4392" xr:uid="{00000000-0005-0000-0000-0000C2100000}"/>
    <cellStyle name="Normal 10 2 14" xfId="4393" xr:uid="{00000000-0005-0000-0000-0000C3100000}"/>
    <cellStyle name="Normal 10 2 15" xfId="4394" xr:uid="{00000000-0005-0000-0000-0000C4100000}"/>
    <cellStyle name="Normal 10 2 16" xfId="4395" xr:uid="{00000000-0005-0000-0000-0000C5100000}"/>
    <cellStyle name="Normal 10 2 17" xfId="4396" xr:uid="{00000000-0005-0000-0000-0000C6100000}"/>
    <cellStyle name="Normal 10 2 18" xfId="4397" xr:uid="{00000000-0005-0000-0000-0000C7100000}"/>
    <cellStyle name="Normal 10 2 19" xfId="4398" xr:uid="{00000000-0005-0000-0000-0000C8100000}"/>
    <cellStyle name="Normal 10 2 2" xfId="4399" xr:uid="{00000000-0005-0000-0000-0000C9100000}"/>
    <cellStyle name="Normal 10 2 3" xfId="4400" xr:uid="{00000000-0005-0000-0000-0000CA100000}"/>
    <cellStyle name="Normal 10 2 4" xfId="4401" xr:uid="{00000000-0005-0000-0000-0000CB100000}"/>
    <cellStyle name="Normal 10 2 5" xfId="4402" xr:uid="{00000000-0005-0000-0000-0000CC100000}"/>
    <cellStyle name="Normal 10 2 6" xfId="4403" xr:uid="{00000000-0005-0000-0000-0000CD100000}"/>
    <cellStyle name="Normal 10 2 7" xfId="4404" xr:uid="{00000000-0005-0000-0000-0000CE100000}"/>
    <cellStyle name="Normal 10 2 8" xfId="4405" xr:uid="{00000000-0005-0000-0000-0000CF100000}"/>
    <cellStyle name="Normal 10 2 9" xfId="4406" xr:uid="{00000000-0005-0000-0000-0000D0100000}"/>
    <cellStyle name="Normal 10 20" xfId="4407" xr:uid="{00000000-0005-0000-0000-0000D1100000}"/>
    <cellStyle name="Normal 10 21" xfId="4408" xr:uid="{00000000-0005-0000-0000-0000D2100000}"/>
    <cellStyle name="Normal 10 22" xfId="4409" xr:uid="{00000000-0005-0000-0000-0000D3100000}"/>
    <cellStyle name="Normal 10 23" xfId="4410" xr:uid="{00000000-0005-0000-0000-0000D4100000}"/>
    <cellStyle name="Normal 10 3" xfId="4411" xr:uid="{00000000-0005-0000-0000-0000D5100000}"/>
    <cellStyle name="Normal 10 4" xfId="4412" xr:uid="{00000000-0005-0000-0000-0000D6100000}"/>
    <cellStyle name="Normal 10 5" xfId="4413" xr:uid="{00000000-0005-0000-0000-0000D7100000}"/>
    <cellStyle name="Normal 10 6" xfId="4414" xr:uid="{00000000-0005-0000-0000-0000D8100000}"/>
    <cellStyle name="Normal 10 7" xfId="4415" xr:uid="{00000000-0005-0000-0000-0000D9100000}"/>
    <cellStyle name="Normal 10 8" xfId="4416" xr:uid="{00000000-0005-0000-0000-0000DA100000}"/>
    <cellStyle name="Normal 10 9" xfId="4417" xr:uid="{00000000-0005-0000-0000-0000DB100000}"/>
    <cellStyle name="Normal 11" xfId="101" xr:uid="{00000000-0005-0000-0000-0000DC100000}"/>
    <cellStyle name="Normal 11 10" xfId="4418" xr:uid="{00000000-0005-0000-0000-0000DD100000}"/>
    <cellStyle name="Normal 11 11" xfId="4419" xr:uid="{00000000-0005-0000-0000-0000DE100000}"/>
    <cellStyle name="Normal 11 12" xfId="4420" xr:uid="{00000000-0005-0000-0000-0000DF100000}"/>
    <cellStyle name="Normal 11 13" xfId="4421" xr:uid="{00000000-0005-0000-0000-0000E0100000}"/>
    <cellStyle name="Normal 11 14" xfId="4422" xr:uid="{00000000-0005-0000-0000-0000E1100000}"/>
    <cellStyle name="Normal 11 15" xfId="4423" xr:uid="{00000000-0005-0000-0000-0000E2100000}"/>
    <cellStyle name="Normal 11 16" xfId="4424" xr:uid="{00000000-0005-0000-0000-0000E3100000}"/>
    <cellStyle name="Normal 11 17" xfId="4425" xr:uid="{00000000-0005-0000-0000-0000E4100000}"/>
    <cellStyle name="Normal 11 18" xfId="4426" xr:uid="{00000000-0005-0000-0000-0000E5100000}"/>
    <cellStyle name="Normal 11 19" xfId="4427" xr:uid="{00000000-0005-0000-0000-0000E6100000}"/>
    <cellStyle name="Normal 11 2" xfId="4428" xr:uid="{00000000-0005-0000-0000-0000E7100000}"/>
    <cellStyle name="Normal 11 20" xfId="4429" xr:uid="{00000000-0005-0000-0000-0000E8100000}"/>
    <cellStyle name="Normal 11 21" xfId="4430" xr:uid="{00000000-0005-0000-0000-0000E9100000}"/>
    <cellStyle name="Normal 11 3" xfId="4431" xr:uid="{00000000-0005-0000-0000-0000EA100000}"/>
    <cellStyle name="Normal 11 4" xfId="4432" xr:uid="{00000000-0005-0000-0000-0000EB100000}"/>
    <cellStyle name="Normal 11 5" xfId="4433" xr:uid="{00000000-0005-0000-0000-0000EC100000}"/>
    <cellStyle name="Normal 11 6" xfId="4434" xr:uid="{00000000-0005-0000-0000-0000ED100000}"/>
    <cellStyle name="Normal 11 7" xfId="4435" xr:uid="{00000000-0005-0000-0000-0000EE100000}"/>
    <cellStyle name="Normal 11 8" xfId="4436" xr:uid="{00000000-0005-0000-0000-0000EF100000}"/>
    <cellStyle name="Normal 11 9" xfId="4437" xr:uid="{00000000-0005-0000-0000-0000F0100000}"/>
    <cellStyle name="Normal 12" xfId="102" xr:uid="{00000000-0005-0000-0000-0000F1100000}"/>
    <cellStyle name="Normal 12 10" xfId="4438" xr:uid="{00000000-0005-0000-0000-0000F2100000}"/>
    <cellStyle name="Normal 12 11" xfId="4439" xr:uid="{00000000-0005-0000-0000-0000F3100000}"/>
    <cellStyle name="Normal 12 12" xfId="4440" xr:uid="{00000000-0005-0000-0000-0000F4100000}"/>
    <cellStyle name="Normal 12 13" xfId="4441" xr:uid="{00000000-0005-0000-0000-0000F5100000}"/>
    <cellStyle name="Normal 12 14" xfId="4442" xr:uid="{00000000-0005-0000-0000-0000F6100000}"/>
    <cellStyle name="Normal 12 15" xfId="4443" xr:uid="{00000000-0005-0000-0000-0000F7100000}"/>
    <cellStyle name="Normal 12 16" xfId="4444" xr:uid="{00000000-0005-0000-0000-0000F8100000}"/>
    <cellStyle name="Normal 12 17" xfId="4445" xr:uid="{00000000-0005-0000-0000-0000F9100000}"/>
    <cellStyle name="Normal 12 18" xfId="4446" xr:uid="{00000000-0005-0000-0000-0000FA100000}"/>
    <cellStyle name="Normal 12 19" xfId="4447" xr:uid="{00000000-0005-0000-0000-0000FB100000}"/>
    <cellStyle name="Normal 12 2" xfId="4448" xr:uid="{00000000-0005-0000-0000-0000FC100000}"/>
    <cellStyle name="Normal 12 20" xfId="4449" xr:uid="{00000000-0005-0000-0000-0000FD100000}"/>
    <cellStyle name="Normal 12 21" xfId="4450" xr:uid="{00000000-0005-0000-0000-0000FE100000}"/>
    <cellStyle name="Normal 12 3" xfId="4451" xr:uid="{00000000-0005-0000-0000-0000FF100000}"/>
    <cellStyle name="Normal 12 4" xfId="4452" xr:uid="{00000000-0005-0000-0000-000000110000}"/>
    <cellStyle name="Normal 12 5" xfId="4453" xr:uid="{00000000-0005-0000-0000-000001110000}"/>
    <cellStyle name="Normal 12 6" xfId="4454" xr:uid="{00000000-0005-0000-0000-000002110000}"/>
    <cellStyle name="Normal 12 7" xfId="4455" xr:uid="{00000000-0005-0000-0000-000003110000}"/>
    <cellStyle name="Normal 12 8" xfId="4456" xr:uid="{00000000-0005-0000-0000-000004110000}"/>
    <cellStyle name="Normal 12 9" xfId="4457" xr:uid="{00000000-0005-0000-0000-000005110000}"/>
    <cellStyle name="Normal 13" xfId="103" xr:uid="{00000000-0005-0000-0000-000006110000}"/>
    <cellStyle name="Normal 13 10" xfId="4458" xr:uid="{00000000-0005-0000-0000-000007110000}"/>
    <cellStyle name="Normal 13 11" xfId="4459" xr:uid="{00000000-0005-0000-0000-000008110000}"/>
    <cellStyle name="Normal 13 12" xfId="4460" xr:uid="{00000000-0005-0000-0000-000009110000}"/>
    <cellStyle name="Normal 13 13" xfId="4461" xr:uid="{00000000-0005-0000-0000-00000A110000}"/>
    <cellStyle name="Normal 13 14" xfId="4462" xr:uid="{00000000-0005-0000-0000-00000B110000}"/>
    <cellStyle name="Normal 13 15" xfId="4463" xr:uid="{00000000-0005-0000-0000-00000C110000}"/>
    <cellStyle name="Normal 13 16" xfId="4464" xr:uid="{00000000-0005-0000-0000-00000D110000}"/>
    <cellStyle name="Normal 13 17" xfId="4465" xr:uid="{00000000-0005-0000-0000-00000E110000}"/>
    <cellStyle name="Normal 13 18" xfId="4466" xr:uid="{00000000-0005-0000-0000-00000F110000}"/>
    <cellStyle name="Normal 13 19" xfId="4467" xr:uid="{00000000-0005-0000-0000-000010110000}"/>
    <cellStyle name="Normal 13 2" xfId="4468" xr:uid="{00000000-0005-0000-0000-000011110000}"/>
    <cellStyle name="Normal 13 20" xfId="4469" xr:uid="{00000000-0005-0000-0000-000012110000}"/>
    <cellStyle name="Normal 13 21" xfId="4470" xr:uid="{00000000-0005-0000-0000-000013110000}"/>
    <cellStyle name="Normal 13 3" xfId="4471" xr:uid="{00000000-0005-0000-0000-000014110000}"/>
    <cellStyle name="Normal 13 4" xfId="4472" xr:uid="{00000000-0005-0000-0000-000015110000}"/>
    <cellStyle name="Normal 13 5" xfId="4473" xr:uid="{00000000-0005-0000-0000-000016110000}"/>
    <cellStyle name="Normal 13 6" xfId="4474" xr:uid="{00000000-0005-0000-0000-000017110000}"/>
    <cellStyle name="Normal 13 7" xfId="4475" xr:uid="{00000000-0005-0000-0000-000018110000}"/>
    <cellStyle name="Normal 13 8" xfId="4476" xr:uid="{00000000-0005-0000-0000-000019110000}"/>
    <cellStyle name="Normal 13 9" xfId="4477" xr:uid="{00000000-0005-0000-0000-00001A110000}"/>
    <cellStyle name="Normal 14" xfId="104" xr:uid="{00000000-0005-0000-0000-00001B110000}"/>
    <cellStyle name="Normal 14 10" xfId="4478" xr:uid="{00000000-0005-0000-0000-00001C110000}"/>
    <cellStyle name="Normal 14 11" xfId="4479" xr:uid="{00000000-0005-0000-0000-00001D110000}"/>
    <cellStyle name="Normal 14 12" xfId="4480" xr:uid="{00000000-0005-0000-0000-00001E110000}"/>
    <cellStyle name="Normal 14 13" xfId="4481" xr:uid="{00000000-0005-0000-0000-00001F110000}"/>
    <cellStyle name="Normal 14 14" xfId="4482" xr:uid="{00000000-0005-0000-0000-000020110000}"/>
    <cellStyle name="Normal 14 15" xfId="4483" xr:uid="{00000000-0005-0000-0000-000021110000}"/>
    <cellStyle name="Normal 14 16" xfId="4484" xr:uid="{00000000-0005-0000-0000-000022110000}"/>
    <cellStyle name="Normal 14 17" xfId="4485" xr:uid="{00000000-0005-0000-0000-000023110000}"/>
    <cellStyle name="Normal 14 18" xfId="4486" xr:uid="{00000000-0005-0000-0000-000024110000}"/>
    <cellStyle name="Normal 14 19" xfId="4487" xr:uid="{00000000-0005-0000-0000-000025110000}"/>
    <cellStyle name="Normal 14 2" xfId="4488" xr:uid="{00000000-0005-0000-0000-000026110000}"/>
    <cellStyle name="Normal 14 3" xfId="4489" xr:uid="{00000000-0005-0000-0000-000027110000}"/>
    <cellStyle name="Normal 14 4" xfId="4490" xr:uid="{00000000-0005-0000-0000-000028110000}"/>
    <cellStyle name="Normal 14 5" xfId="4491" xr:uid="{00000000-0005-0000-0000-000029110000}"/>
    <cellStyle name="Normal 14 6" xfId="4492" xr:uid="{00000000-0005-0000-0000-00002A110000}"/>
    <cellStyle name="Normal 14 7" xfId="4493" xr:uid="{00000000-0005-0000-0000-00002B110000}"/>
    <cellStyle name="Normal 14 8" xfId="4494" xr:uid="{00000000-0005-0000-0000-00002C110000}"/>
    <cellStyle name="Normal 14 9" xfId="4495" xr:uid="{00000000-0005-0000-0000-00002D110000}"/>
    <cellStyle name="Normal 15" xfId="105" xr:uid="{00000000-0005-0000-0000-00002E110000}"/>
    <cellStyle name="Normal 15 10" xfId="4496" xr:uid="{00000000-0005-0000-0000-00002F110000}"/>
    <cellStyle name="Normal 15 11" xfId="4497" xr:uid="{00000000-0005-0000-0000-000030110000}"/>
    <cellStyle name="Normal 15 12" xfId="4498" xr:uid="{00000000-0005-0000-0000-000031110000}"/>
    <cellStyle name="Normal 15 13" xfId="4499" xr:uid="{00000000-0005-0000-0000-000032110000}"/>
    <cellStyle name="Normal 15 14" xfId="4500" xr:uid="{00000000-0005-0000-0000-000033110000}"/>
    <cellStyle name="Normal 15 15" xfId="4501" xr:uid="{00000000-0005-0000-0000-000034110000}"/>
    <cellStyle name="Normal 15 16" xfId="4502" xr:uid="{00000000-0005-0000-0000-000035110000}"/>
    <cellStyle name="Normal 15 17" xfId="4503" xr:uid="{00000000-0005-0000-0000-000036110000}"/>
    <cellStyle name="Normal 15 18" xfId="4504" xr:uid="{00000000-0005-0000-0000-000037110000}"/>
    <cellStyle name="Normal 15 19" xfId="4505" xr:uid="{00000000-0005-0000-0000-000038110000}"/>
    <cellStyle name="Normal 15 2" xfId="4506" xr:uid="{00000000-0005-0000-0000-000039110000}"/>
    <cellStyle name="Normal 15 3" xfId="4507" xr:uid="{00000000-0005-0000-0000-00003A110000}"/>
    <cellStyle name="Normal 15 4" xfId="4508" xr:uid="{00000000-0005-0000-0000-00003B110000}"/>
    <cellStyle name="Normal 15 5" xfId="4509" xr:uid="{00000000-0005-0000-0000-00003C110000}"/>
    <cellStyle name="Normal 15 6" xfId="4510" xr:uid="{00000000-0005-0000-0000-00003D110000}"/>
    <cellStyle name="Normal 15 7" xfId="4511" xr:uid="{00000000-0005-0000-0000-00003E110000}"/>
    <cellStyle name="Normal 15 8" xfId="4512" xr:uid="{00000000-0005-0000-0000-00003F110000}"/>
    <cellStyle name="Normal 15 9" xfId="4513" xr:uid="{00000000-0005-0000-0000-000040110000}"/>
    <cellStyle name="Normal 16" xfId="106" xr:uid="{00000000-0005-0000-0000-000041110000}"/>
    <cellStyle name="Normal 16 10" xfId="4514" xr:uid="{00000000-0005-0000-0000-000042110000}"/>
    <cellStyle name="Normal 16 11" xfId="4515" xr:uid="{00000000-0005-0000-0000-000043110000}"/>
    <cellStyle name="Normal 16 12" xfId="4516" xr:uid="{00000000-0005-0000-0000-000044110000}"/>
    <cellStyle name="Normal 16 13" xfId="4517" xr:uid="{00000000-0005-0000-0000-000045110000}"/>
    <cellStyle name="Normal 16 14" xfId="4518" xr:uid="{00000000-0005-0000-0000-000046110000}"/>
    <cellStyle name="Normal 16 15" xfId="4519" xr:uid="{00000000-0005-0000-0000-000047110000}"/>
    <cellStyle name="Normal 16 16" xfId="4520" xr:uid="{00000000-0005-0000-0000-000048110000}"/>
    <cellStyle name="Normal 16 17" xfId="4521" xr:uid="{00000000-0005-0000-0000-000049110000}"/>
    <cellStyle name="Normal 16 18" xfId="4522" xr:uid="{00000000-0005-0000-0000-00004A110000}"/>
    <cellStyle name="Normal 16 19" xfId="4523" xr:uid="{00000000-0005-0000-0000-00004B110000}"/>
    <cellStyle name="Normal 16 2" xfId="4524" xr:uid="{00000000-0005-0000-0000-00004C110000}"/>
    <cellStyle name="Normal 16 3" xfId="4525" xr:uid="{00000000-0005-0000-0000-00004D110000}"/>
    <cellStyle name="Normal 16 4" xfId="4526" xr:uid="{00000000-0005-0000-0000-00004E110000}"/>
    <cellStyle name="Normal 16 5" xfId="4527" xr:uid="{00000000-0005-0000-0000-00004F110000}"/>
    <cellStyle name="Normal 16 6" xfId="4528" xr:uid="{00000000-0005-0000-0000-000050110000}"/>
    <cellStyle name="Normal 16 7" xfId="4529" xr:uid="{00000000-0005-0000-0000-000051110000}"/>
    <cellStyle name="Normal 16 8" xfId="4530" xr:uid="{00000000-0005-0000-0000-000052110000}"/>
    <cellStyle name="Normal 16 9" xfId="4531" xr:uid="{00000000-0005-0000-0000-000053110000}"/>
    <cellStyle name="Normal 17" xfId="107" xr:uid="{00000000-0005-0000-0000-000054110000}"/>
    <cellStyle name="Normal 17 10" xfId="4532" xr:uid="{00000000-0005-0000-0000-000055110000}"/>
    <cellStyle name="Normal 17 11" xfId="4533" xr:uid="{00000000-0005-0000-0000-000056110000}"/>
    <cellStyle name="Normal 17 12" xfId="4534" xr:uid="{00000000-0005-0000-0000-000057110000}"/>
    <cellStyle name="Normal 17 13" xfId="4535" xr:uid="{00000000-0005-0000-0000-000058110000}"/>
    <cellStyle name="Normal 17 14" xfId="4536" xr:uid="{00000000-0005-0000-0000-000059110000}"/>
    <cellStyle name="Normal 17 15" xfId="4537" xr:uid="{00000000-0005-0000-0000-00005A110000}"/>
    <cellStyle name="Normal 17 16" xfId="4538" xr:uid="{00000000-0005-0000-0000-00005B110000}"/>
    <cellStyle name="Normal 17 17" xfId="4539" xr:uid="{00000000-0005-0000-0000-00005C110000}"/>
    <cellStyle name="Normal 17 18" xfId="4540" xr:uid="{00000000-0005-0000-0000-00005D110000}"/>
    <cellStyle name="Normal 17 19" xfId="4541" xr:uid="{00000000-0005-0000-0000-00005E110000}"/>
    <cellStyle name="Normal 17 2" xfId="4542" xr:uid="{00000000-0005-0000-0000-00005F110000}"/>
    <cellStyle name="Normal 17 3" xfId="4543" xr:uid="{00000000-0005-0000-0000-000060110000}"/>
    <cellStyle name="Normal 17 4" xfId="4544" xr:uid="{00000000-0005-0000-0000-000061110000}"/>
    <cellStyle name="Normal 17 5" xfId="4545" xr:uid="{00000000-0005-0000-0000-000062110000}"/>
    <cellStyle name="Normal 17 6" xfId="4546" xr:uid="{00000000-0005-0000-0000-000063110000}"/>
    <cellStyle name="Normal 17 7" xfId="4547" xr:uid="{00000000-0005-0000-0000-000064110000}"/>
    <cellStyle name="Normal 17 8" xfId="4548" xr:uid="{00000000-0005-0000-0000-000065110000}"/>
    <cellStyle name="Normal 17 9" xfId="4549" xr:uid="{00000000-0005-0000-0000-000066110000}"/>
    <cellStyle name="Normal 18" xfId="108" xr:uid="{00000000-0005-0000-0000-000067110000}"/>
    <cellStyle name="Normal 18 10" xfId="4550" xr:uid="{00000000-0005-0000-0000-000068110000}"/>
    <cellStyle name="Normal 18 11" xfId="4551" xr:uid="{00000000-0005-0000-0000-000069110000}"/>
    <cellStyle name="Normal 18 12" xfId="4552" xr:uid="{00000000-0005-0000-0000-00006A110000}"/>
    <cellStyle name="Normal 18 13" xfId="4553" xr:uid="{00000000-0005-0000-0000-00006B110000}"/>
    <cellStyle name="Normal 18 14" xfId="4554" xr:uid="{00000000-0005-0000-0000-00006C110000}"/>
    <cellStyle name="Normal 18 15" xfId="4555" xr:uid="{00000000-0005-0000-0000-00006D110000}"/>
    <cellStyle name="Normal 18 16" xfId="4556" xr:uid="{00000000-0005-0000-0000-00006E110000}"/>
    <cellStyle name="Normal 18 17" xfId="4557" xr:uid="{00000000-0005-0000-0000-00006F110000}"/>
    <cellStyle name="Normal 18 18" xfId="4558" xr:uid="{00000000-0005-0000-0000-000070110000}"/>
    <cellStyle name="Normal 18 19" xfId="4559" xr:uid="{00000000-0005-0000-0000-000071110000}"/>
    <cellStyle name="Normal 18 2" xfId="4560" xr:uid="{00000000-0005-0000-0000-000072110000}"/>
    <cellStyle name="Normal 18 3" xfId="4561" xr:uid="{00000000-0005-0000-0000-000073110000}"/>
    <cellStyle name="Normal 18 4" xfId="4562" xr:uid="{00000000-0005-0000-0000-000074110000}"/>
    <cellStyle name="Normal 18 5" xfId="4563" xr:uid="{00000000-0005-0000-0000-000075110000}"/>
    <cellStyle name="Normal 18 6" xfId="4564" xr:uid="{00000000-0005-0000-0000-000076110000}"/>
    <cellStyle name="Normal 18 7" xfId="4565" xr:uid="{00000000-0005-0000-0000-000077110000}"/>
    <cellStyle name="Normal 18 8" xfId="4566" xr:uid="{00000000-0005-0000-0000-000078110000}"/>
    <cellStyle name="Normal 18 9" xfId="4567" xr:uid="{00000000-0005-0000-0000-000079110000}"/>
    <cellStyle name="Normal 19" xfId="135" xr:uid="{00000000-0005-0000-0000-00007A110000}"/>
    <cellStyle name="Normal 19 10" xfId="4568" xr:uid="{00000000-0005-0000-0000-00007B110000}"/>
    <cellStyle name="Normal 19 11" xfId="4569" xr:uid="{00000000-0005-0000-0000-00007C110000}"/>
    <cellStyle name="Normal 19 12" xfId="4570" xr:uid="{00000000-0005-0000-0000-00007D110000}"/>
    <cellStyle name="Normal 19 13" xfId="4571" xr:uid="{00000000-0005-0000-0000-00007E110000}"/>
    <cellStyle name="Normal 19 14" xfId="4572" xr:uid="{00000000-0005-0000-0000-00007F110000}"/>
    <cellStyle name="Normal 19 15" xfId="4573" xr:uid="{00000000-0005-0000-0000-000080110000}"/>
    <cellStyle name="Normal 19 16" xfId="4574" xr:uid="{00000000-0005-0000-0000-000081110000}"/>
    <cellStyle name="Normal 19 17" xfId="4575" xr:uid="{00000000-0005-0000-0000-000082110000}"/>
    <cellStyle name="Normal 19 18" xfId="4576" xr:uid="{00000000-0005-0000-0000-000083110000}"/>
    <cellStyle name="Normal 19 19" xfId="4577" xr:uid="{00000000-0005-0000-0000-000084110000}"/>
    <cellStyle name="Normal 19 2" xfId="4578" xr:uid="{00000000-0005-0000-0000-000085110000}"/>
    <cellStyle name="Normal 19 3" xfId="4579" xr:uid="{00000000-0005-0000-0000-000086110000}"/>
    <cellStyle name="Normal 19 4" xfId="4580" xr:uid="{00000000-0005-0000-0000-000087110000}"/>
    <cellStyle name="Normal 19 5" xfId="4581" xr:uid="{00000000-0005-0000-0000-000088110000}"/>
    <cellStyle name="Normal 19 6" xfId="4582" xr:uid="{00000000-0005-0000-0000-000089110000}"/>
    <cellStyle name="Normal 19 7" xfId="4583" xr:uid="{00000000-0005-0000-0000-00008A110000}"/>
    <cellStyle name="Normal 19 8" xfId="4584" xr:uid="{00000000-0005-0000-0000-00008B110000}"/>
    <cellStyle name="Normal 19 9" xfId="4585" xr:uid="{00000000-0005-0000-0000-00008C110000}"/>
    <cellStyle name="Normal 2" xfId="5" xr:uid="{00000000-0005-0000-0000-00008D110000}"/>
    <cellStyle name="Normal 2 10" xfId="4586" xr:uid="{00000000-0005-0000-0000-00008E110000}"/>
    <cellStyle name="Normal 2 11" xfId="4587" xr:uid="{00000000-0005-0000-0000-00008F110000}"/>
    <cellStyle name="Normal 2 12" xfId="4588" xr:uid="{00000000-0005-0000-0000-000090110000}"/>
    <cellStyle name="Normal 2 12 2" xfId="4589" xr:uid="{00000000-0005-0000-0000-000091110000}"/>
    <cellStyle name="Normal 2 12 2 2" xfId="4590" xr:uid="{00000000-0005-0000-0000-000092110000}"/>
    <cellStyle name="Normal 2 12 2 3" xfId="4591" xr:uid="{00000000-0005-0000-0000-000093110000}"/>
    <cellStyle name="Normal 2 12 3" xfId="4592" xr:uid="{00000000-0005-0000-0000-000094110000}"/>
    <cellStyle name="Normal 2 13" xfId="4593" xr:uid="{00000000-0005-0000-0000-000095110000}"/>
    <cellStyle name="Normal 2 13 2" xfId="4594" xr:uid="{00000000-0005-0000-0000-000096110000}"/>
    <cellStyle name="Normal 2 13 2 2" xfId="4595" xr:uid="{00000000-0005-0000-0000-000097110000}"/>
    <cellStyle name="Normal 2 13 2 3" xfId="4596" xr:uid="{00000000-0005-0000-0000-000098110000}"/>
    <cellStyle name="Normal 2 13 3" xfId="4597" xr:uid="{00000000-0005-0000-0000-000099110000}"/>
    <cellStyle name="Normal 2 14" xfId="4598" xr:uid="{00000000-0005-0000-0000-00009A110000}"/>
    <cellStyle name="Normal 2 14 2" xfId="4599" xr:uid="{00000000-0005-0000-0000-00009B110000}"/>
    <cellStyle name="Normal 2 14 2 2" xfId="4600" xr:uid="{00000000-0005-0000-0000-00009C110000}"/>
    <cellStyle name="Normal 2 14 2 3" xfId="4601" xr:uid="{00000000-0005-0000-0000-00009D110000}"/>
    <cellStyle name="Normal 2 14 3" xfId="4602" xr:uid="{00000000-0005-0000-0000-00009E110000}"/>
    <cellStyle name="Normal 2 15" xfId="4603" xr:uid="{00000000-0005-0000-0000-00009F110000}"/>
    <cellStyle name="Normal 2 15 2" xfId="4604" xr:uid="{00000000-0005-0000-0000-0000A0110000}"/>
    <cellStyle name="Normal 2 15 2 2" xfId="4605" xr:uid="{00000000-0005-0000-0000-0000A1110000}"/>
    <cellStyle name="Normal 2 15 2 3" xfId="4606" xr:uid="{00000000-0005-0000-0000-0000A2110000}"/>
    <cellStyle name="Normal 2 15 3" xfId="4607" xr:uid="{00000000-0005-0000-0000-0000A3110000}"/>
    <cellStyle name="Normal 2 16" xfId="4608" xr:uid="{00000000-0005-0000-0000-0000A4110000}"/>
    <cellStyle name="Normal 2 16 2" xfId="4609" xr:uid="{00000000-0005-0000-0000-0000A5110000}"/>
    <cellStyle name="Normal 2 16 2 2" xfId="4610" xr:uid="{00000000-0005-0000-0000-0000A6110000}"/>
    <cellStyle name="Normal 2 16 2 3" xfId="4611" xr:uid="{00000000-0005-0000-0000-0000A7110000}"/>
    <cellStyle name="Normal 2 16 3" xfId="4612" xr:uid="{00000000-0005-0000-0000-0000A8110000}"/>
    <cellStyle name="Normal 2 17" xfId="4613" xr:uid="{00000000-0005-0000-0000-0000A9110000}"/>
    <cellStyle name="Normal 2 17 2" xfId="4614" xr:uid="{00000000-0005-0000-0000-0000AA110000}"/>
    <cellStyle name="Normal 2 17 2 2" xfId="4615" xr:uid="{00000000-0005-0000-0000-0000AB110000}"/>
    <cellStyle name="Normal 2 17 2 3" xfId="4616" xr:uid="{00000000-0005-0000-0000-0000AC110000}"/>
    <cellStyle name="Normal 2 17 3" xfId="4617" xr:uid="{00000000-0005-0000-0000-0000AD110000}"/>
    <cellStyle name="Normal 2 18" xfId="4618" xr:uid="{00000000-0005-0000-0000-0000AE110000}"/>
    <cellStyle name="Normal 2 18 2" xfId="4619" xr:uid="{00000000-0005-0000-0000-0000AF110000}"/>
    <cellStyle name="Normal 2 18 2 2" xfId="4620" xr:uid="{00000000-0005-0000-0000-0000B0110000}"/>
    <cellStyle name="Normal 2 18 2 3" xfId="4621" xr:uid="{00000000-0005-0000-0000-0000B1110000}"/>
    <cellStyle name="Normal 2 18 3" xfId="4622" xr:uid="{00000000-0005-0000-0000-0000B2110000}"/>
    <cellStyle name="Normal 2 19" xfId="4623" xr:uid="{00000000-0005-0000-0000-0000B3110000}"/>
    <cellStyle name="Normal 2 19 2" xfId="4624" xr:uid="{00000000-0005-0000-0000-0000B4110000}"/>
    <cellStyle name="Normal 2 19 2 2" xfId="4625" xr:uid="{00000000-0005-0000-0000-0000B5110000}"/>
    <cellStyle name="Normal 2 19 2 3" xfId="4626" xr:uid="{00000000-0005-0000-0000-0000B6110000}"/>
    <cellStyle name="Normal 2 19 3" xfId="4627" xr:uid="{00000000-0005-0000-0000-0000B7110000}"/>
    <cellStyle name="Normal 2 2" xfId="133" xr:uid="{00000000-0005-0000-0000-0000B8110000}"/>
    <cellStyle name="Normal 2 2 10" xfId="4628" xr:uid="{00000000-0005-0000-0000-0000B9110000}"/>
    <cellStyle name="Normal 2 2 11" xfId="4629" xr:uid="{00000000-0005-0000-0000-0000BA110000}"/>
    <cellStyle name="Normal 2 2 12" xfId="4630" xr:uid="{00000000-0005-0000-0000-0000BB110000}"/>
    <cellStyle name="Normal 2 2 13" xfId="4631" xr:uid="{00000000-0005-0000-0000-0000BC110000}"/>
    <cellStyle name="Normal 2 2 14" xfId="4632" xr:uid="{00000000-0005-0000-0000-0000BD110000}"/>
    <cellStyle name="Normal 2 2 15" xfId="4633" xr:uid="{00000000-0005-0000-0000-0000BE110000}"/>
    <cellStyle name="Normal 2 2 16" xfId="4634" xr:uid="{00000000-0005-0000-0000-0000BF110000}"/>
    <cellStyle name="Normal 2 2 17" xfId="4635" xr:uid="{00000000-0005-0000-0000-0000C0110000}"/>
    <cellStyle name="Normal 2 2 18" xfId="4636" xr:uid="{00000000-0005-0000-0000-0000C1110000}"/>
    <cellStyle name="Normal 2 2 19" xfId="4637" xr:uid="{00000000-0005-0000-0000-0000C2110000}"/>
    <cellStyle name="Normal 2 2 2" xfId="4638" xr:uid="{00000000-0005-0000-0000-0000C3110000}"/>
    <cellStyle name="Normal 2 2 2 2" xfId="4639" xr:uid="{00000000-0005-0000-0000-0000C4110000}"/>
    <cellStyle name="Normal 2 2 2 2 2" xfId="4640" xr:uid="{00000000-0005-0000-0000-0000C5110000}"/>
    <cellStyle name="Normal 2 2 2 2 3" xfId="4641" xr:uid="{00000000-0005-0000-0000-0000C6110000}"/>
    <cellStyle name="Normal 2 2 2 3" xfId="4642" xr:uid="{00000000-0005-0000-0000-0000C7110000}"/>
    <cellStyle name="Normal 2 2 2 4" xfId="4643" xr:uid="{00000000-0005-0000-0000-0000C8110000}"/>
    <cellStyle name="Normal 2 2 2 5" xfId="4644" xr:uid="{00000000-0005-0000-0000-0000C9110000}"/>
    <cellStyle name="Normal 2 2 2 6" xfId="4645" xr:uid="{00000000-0005-0000-0000-0000CA110000}"/>
    <cellStyle name="Normal 2 2 20" xfId="4646" xr:uid="{00000000-0005-0000-0000-0000CB110000}"/>
    <cellStyle name="Normal 2 2 21" xfId="4647" xr:uid="{00000000-0005-0000-0000-0000CC110000}"/>
    <cellStyle name="Normal 2 2 22" xfId="4648" xr:uid="{00000000-0005-0000-0000-0000CD110000}"/>
    <cellStyle name="Normal 2 2 23" xfId="4649" xr:uid="{00000000-0005-0000-0000-0000CE110000}"/>
    <cellStyle name="Normal 2 2 24" xfId="4650" xr:uid="{00000000-0005-0000-0000-0000CF110000}"/>
    <cellStyle name="Normal 2 2 25" xfId="4651" xr:uid="{00000000-0005-0000-0000-0000D0110000}"/>
    <cellStyle name="Normal 2 2 26" xfId="4652" xr:uid="{00000000-0005-0000-0000-0000D1110000}"/>
    <cellStyle name="Normal 2 2 27" xfId="4653" xr:uid="{00000000-0005-0000-0000-0000D2110000}"/>
    <cellStyle name="Normal 2 2 28" xfId="4654" xr:uid="{00000000-0005-0000-0000-0000D3110000}"/>
    <cellStyle name="Normal 2 2 29" xfId="4655" xr:uid="{00000000-0005-0000-0000-0000D4110000}"/>
    <cellStyle name="Normal 2 2 3" xfId="4656" xr:uid="{00000000-0005-0000-0000-0000D5110000}"/>
    <cellStyle name="Normal 2 2 3 2" xfId="4657" xr:uid="{00000000-0005-0000-0000-0000D6110000}"/>
    <cellStyle name="Normal 2 2 3 2 2" xfId="4658" xr:uid="{00000000-0005-0000-0000-0000D7110000}"/>
    <cellStyle name="Normal 2 2 3 2 3" xfId="4659" xr:uid="{00000000-0005-0000-0000-0000D8110000}"/>
    <cellStyle name="Normal 2 2 3 3" xfId="4660" xr:uid="{00000000-0005-0000-0000-0000D9110000}"/>
    <cellStyle name="Normal 2 2 30" xfId="4661" xr:uid="{00000000-0005-0000-0000-0000DA110000}"/>
    <cellStyle name="Normal 2 2 31" xfId="4662" xr:uid="{00000000-0005-0000-0000-0000DB110000}"/>
    <cellStyle name="Normal 2 2 32" xfId="4663" xr:uid="{00000000-0005-0000-0000-0000DC110000}"/>
    <cellStyle name="Normal 2 2 33" xfId="4664" xr:uid="{00000000-0005-0000-0000-0000DD110000}"/>
    <cellStyle name="Normal 2 2 34" xfId="4665" xr:uid="{00000000-0005-0000-0000-0000DE110000}"/>
    <cellStyle name="Normal 2 2 35" xfId="4666" xr:uid="{00000000-0005-0000-0000-0000DF110000}"/>
    <cellStyle name="Normal 2 2 36" xfId="4667" xr:uid="{00000000-0005-0000-0000-0000E0110000}"/>
    <cellStyle name="Normal 2 2 37" xfId="4668" xr:uid="{00000000-0005-0000-0000-0000E1110000}"/>
    <cellStyle name="Normal 2 2 38" xfId="4669" xr:uid="{00000000-0005-0000-0000-0000E2110000}"/>
    <cellStyle name="Normal 2 2 39" xfId="4670" xr:uid="{00000000-0005-0000-0000-0000E3110000}"/>
    <cellStyle name="Normal 2 2 4" xfId="4671" xr:uid="{00000000-0005-0000-0000-0000E4110000}"/>
    <cellStyle name="Normal 2 2 4 2" xfId="4672" xr:uid="{00000000-0005-0000-0000-0000E5110000}"/>
    <cellStyle name="Normal 2 2 4 2 2" xfId="4673" xr:uid="{00000000-0005-0000-0000-0000E6110000}"/>
    <cellStyle name="Normal 2 2 4 2 3" xfId="4674" xr:uid="{00000000-0005-0000-0000-0000E7110000}"/>
    <cellStyle name="Normal 2 2 4 3" xfId="4675" xr:uid="{00000000-0005-0000-0000-0000E8110000}"/>
    <cellStyle name="Normal 2 2 40" xfId="4676" xr:uid="{00000000-0005-0000-0000-0000E9110000}"/>
    <cellStyle name="Normal 2 2 41" xfId="4677" xr:uid="{00000000-0005-0000-0000-0000EA110000}"/>
    <cellStyle name="Normal 2 2 42" xfId="4678" xr:uid="{00000000-0005-0000-0000-0000EB110000}"/>
    <cellStyle name="Normal 2 2 43" xfId="4679" xr:uid="{00000000-0005-0000-0000-0000EC110000}"/>
    <cellStyle name="Normal 2 2 44" xfId="4680" xr:uid="{00000000-0005-0000-0000-0000ED110000}"/>
    <cellStyle name="Normal 2 2 45" xfId="4681" xr:uid="{00000000-0005-0000-0000-0000EE110000}"/>
    <cellStyle name="Normal 2 2 46" xfId="4682" xr:uid="{00000000-0005-0000-0000-0000EF110000}"/>
    <cellStyle name="Normal 2 2 47" xfId="4683" xr:uid="{00000000-0005-0000-0000-0000F0110000}"/>
    <cellStyle name="Normal 2 2 48" xfId="4684" xr:uid="{00000000-0005-0000-0000-0000F1110000}"/>
    <cellStyle name="Normal 2 2 49" xfId="4685" xr:uid="{00000000-0005-0000-0000-0000F2110000}"/>
    <cellStyle name="Normal 2 2 5" xfId="4686" xr:uid="{00000000-0005-0000-0000-0000F3110000}"/>
    <cellStyle name="Normal 2 2 50" xfId="4687" xr:uid="{00000000-0005-0000-0000-0000F4110000}"/>
    <cellStyle name="Normal 2 2 51" xfId="4688" xr:uid="{00000000-0005-0000-0000-0000F5110000}"/>
    <cellStyle name="Normal 2 2 52" xfId="4689" xr:uid="{00000000-0005-0000-0000-0000F6110000}"/>
    <cellStyle name="Normal 2 2 53" xfId="4690" xr:uid="{00000000-0005-0000-0000-0000F7110000}"/>
    <cellStyle name="Normal 2 2 6" xfId="4691" xr:uid="{00000000-0005-0000-0000-0000F8110000}"/>
    <cellStyle name="Normal 2 2 7" xfId="4692" xr:uid="{00000000-0005-0000-0000-0000F9110000}"/>
    <cellStyle name="Normal 2 2 8" xfId="4693" xr:uid="{00000000-0005-0000-0000-0000FA110000}"/>
    <cellStyle name="Normal 2 2 9" xfId="4694" xr:uid="{00000000-0005-0000-0000-0000FB110000}"/>
    <cellStyle name="Normal 2 20" xfId="4695" xr:uid="{00000000-0005-0000-0000-0000FC110000}"/>
    <cellStyle name="Normal 2 20 2" xfId="4696" xr:uid="{00000000-0005-0000-0000-0000FD110000}"/>
    <cellStyle name="Normal 2 20 2 2" xfId="4697" xr:uid="{00000000-0005-0000-0000-0000FE110000}"/>
    <cellStyle name="Normal 2 20 2 3" xfId="4698" xr:uid="{00000000-0005-0000-0000-0000FF110000}"/>
    <cellStyle name="Normal 2 20 3" xfId="4699" xr:uid="{00000000-0005-0000-0000-000000120000}"/>
    <cellStyle name="Normal 2 21" xfId="4700" xr:uid="{00000000-0005-0000-0000-000001120000}"/>
    <cellStyle name="Normal 2 21 2" xfId="4701" xr:uid="{00000000-0005-0000-0000-000002120000}"/>
    <cellStyle name="Normal 2 21 2 2" xfId="4702" xr:uid="{00000000-0005-0000-0000-000003120000}"/>
    <cellStyle name="Normal 2 21 2 3" xfId="4703" xr:uid="{00000000-0005-0000-0000-000004120000}"/>
    <cellStyle name="Normal 2 21 3" xfId="4704" xr:uid="{00000000-0005-0000-0000-000005120000}"/>
    <cellStyle name="Normal 2 22" xfId="4705" xr:uid="{00000000-0005-0000-0000-000006120000}"/>
    <cellStyle name="Normal 2 22 2" xfId="4706" xr:uid="{00000000-0005-0000-0000-000007120000}"/>
    <cellStyle name="Normal 2 22 2 2" xfId="4707" xr:uid="{00000000-0005-0000-0000-000008120000}"/>
    <cellStyle name="Normal 2 22 2 3" xfId="4708" xr:uid="{00000000-0005-0000-0000-000009120000}"/>
    <cellStyle name="Normal 2 22 3" xfId="4709" xr:uid="{00000000-0005-0000-0000-00000A120000}"/>
    <cellStyle name="Normal 2 23" xfId="4710" xr:uid="{00000000-0005-0000-0000-00000B120000}"/>
    <cellStyle name="Normal 2 23 2" xfId="4711" xr:uid="{00000000-0005-0000-0000-00000C120000}"/>
    <cellStyle name="Normal 2 23 2 2" xfId="4712" xr:uid="{00000000-0005-0000-0000-00000D120000}"/>
    <cellStyle name="Normal 2 23 2 3" xfId="4713" xr:uid="{00000000-0005-0000-0000-00000E120000}"/>
    <cellStyle name="Normal 2 23 3" xfId="4714" xr:uid="{00000000-0005-0000-0000-00000F120000}"/>
    <cellStyle name="Normal 2 24" xfId="4715" xr:uid="{00000000-0005-0000-0000-000010120000}"/>
    <cellStyle name="Normal 2 25" xfId="4716" xr:uid="{00000000-0005-0000-0000-000011120000}"/>
    <cellStyle name="Normal 2 26" xfId="4717" xr:uid="{00000000-0005-0000-0000-000012120000}"/>
    <cellStyle name="Normal 2 27" xfId="4718" xr:uid="{00000000-0005-0000-0000-000013120000}"/>
    <cellStyle name="Normal 2 28" xfId="4719" xr:uid="{00000000-0005-0000-0000-000014120000}"/>
    <cellStyle name="Normal 2 29" xfId="4720" xr:uid="{00000000-0005-0000-0000-000015120000}"/>
    <cellStyle name="Normal 2 3" xfId="53" xr:uid="{00000000-0005-0000-0000-000016120000}"/>
    <cellStyle name="Normal 2 3 10" xfId="4721" xr:uid="{00000000-0005-0000-0000-000017120000}"/>
    <cellStyle name="Normal 2 3 11" xfId="4722" xr:uid="{00000000-0005-0000-0000-000018120000}"/>
    <cellStyle name="Normal 2 3 12" xfId="4723" xr:uid="{00000000-0005-0000-0000-000019120000}"/>
    <cellStyle name="Normal 2 3 13" xfId="4724" xr:uid="{00000000-0005-0000-0000-00001A120000}"/>
    <cellStyle name="Normal 2 3 14" xfId="4725" xr:uid="{00000000-0005-0000-0000-00001B120000}"/>
    <cellStyle name="Normal 2 3 15" xfId="4726" xr:uid="{00000000-0005-0000-0000-00001C120000}"/>
    <cellStyle name="Normal 2 3 16" xfId="4727" xr:uid="{00000000-0005-0000-0000-00001D120000}"/>
    <cellStyle name="Normal 2 3 17" xfId="4728" xr:uid="{00000000-0005-0000-0000-00001E120000}"/>
    <cellStyle name="Normal 2 3 18" xfId="4729" xr:uid="{00000000-0005-0000-0000-00001F120000}"/>
    <cellStyle name="Normal 2 3 19" xfId="4730" xr:uid="{00000000-0005-0000-0000-000020120000}"/>
    <cellStyle name="Normal 2 3 2" xfId="4731" xr:uid="{00000000-0005-0000-0000-000021120000}"/>
    <cellStyle name="Normal 2 3 20" xfId="4732" xr:uid="{00000000-0005-0000-0000-000022120000}"/>
    <cellStyle name="Normal 2 3 21" xfId="4733" xr:uid="{00000000-0005-0000-0000-000023120000}"/>
    <cellStyle name="Normal 2 3 22" xfId="4734" xr:uid="{00000000-0005-0000-0000-000024120000}"/>
    <cellStyle name="Normal 2 3 23" xfId="4735" xr:uid="{00000000-0005-0000-0000-000025120000}"/>
    <cellStyle name="Normal 2 3 24" xfId="4736" xr:uid="{00000000-0005-0000-0000-000026120000}"/>
    <cellStyle name="Normal 2 3 25" xfId="4737" xr:uid="{00000000-0005-0000-0000-000027120000}"/>
    <cellStyle name="Normal 2 3 26" xfId="4738" xr:uid="{00000000-0005-0000-0000-000028120000}"/>
    <cellStyle name="Normal 2 3 27" xfId="4739" xr:uid="{00000000-0005-0000-0000-000029120000}"/>
    <cellStyle name="Normal 2 3 28" xfId="4740" xr:uid="{00000000-0005-0000-0000-00002A120000}"/>
    <cellStyle name="Normal 2 3 29" xfId="4741" xr:uid="{00000000-0005-0000-0000-00002B120000}"/>
    <cellStyle name="Normal 2 3 3" xfId="4742" xr:uid="{00000000-0005-0000-0000-00002C120000}"/>
    <cellStyle name="Normal 2 3 30" xfId="4743" xr:uid="{00000000-0005-0000-0000-00002D120000}"/>
    <cellStyle name="Normal 2 3 31" xfId="4744" xr:uid="{00000000-0005-0000-0000-00002E120000}"/>
    <cellStyle name="Normal 2 3 32" xfId="4745" xr:uid="{00000000-0005-0000-0000-00002F120000}"/>
    <cellStyle name="Normal 2 3 33" xfId="4746" xr:uid="{00000000-0005-0000-0000-000030120000}"/>
    <cellStyle name="Normal 2 3 34" xfId="4747" xr:uid="{00000000-0005-0000-0000-000031120000}"/>
    <cellStyle name="Normal 2 3 35" xfId="4748" xr:uid="{00000000-0005-0000-0000-000032120000}"/>
    <cellStyle name="Normal 2 3 36" xfId="4749" xr:uid="{00000000-0005-0000-0000-000033120000}"/>
    <cellStyle name="Normal 2 3 37" xfId="4750" xr:uid="{00000000-0005-0000-0000-000034120000}"/>
    <cellStyle name="Normal 2 3 38" xfId="4751" xr:uid="{00000000-0005-0000-0000-000035120000}"/>
    <cellStyle name="Normal 2 3 39" xfId="4752" xr:uid="{00000000-0005-0000-0000-000036120000}"/>
    <cellStyle name="Normal 2 3 4" xfId="4753" xr:uid="{00000000-0005-0000-0000-000037120000}"/>
    <cellStyle name="Normal 2 3 40" xfId="4754" xr:uid="{00000000-0005-0000-0000-000038120000}"/>
    <cellStyle name="Normal 2 3 41" xfId="4755" xr:uid="{00000000-0005-0000-0000-000039120000}"/>
    <cellStyle name="Normal 2 3 42" xfId="4756" xr:uid="{00000000-0005-0000-0000-00003A120000}"/>
    <cellStyle name="Normal 2 3 43" xfId="4757" xr:uid="{00000000-0005-0000-0000-00003B120000}"/>
    <cellStyle name="Normal 2 3 44" xfId="4758" xr:uid="{00000000-0005-0000-0000-00003C120000}"/>
    <cellStyle name="Normal 2 3 45" xfId="4759" xr:uid="{00000000-0005-0000-0000-00003D120000}"/>
    <cellStyle name="Normal 2 3 46" xfId="4760" xr:uid="{00000000-0005-0000-0000-00003E120000}"/>
    <cellStyle name="Normal 2 3 47" xfId="4761" xr:uid="{00000000-0005-0000-0000-00003F120000}"/>
    <cellStyle name="Normal 2 3 48" xfId="4762" xr:uid="{00000000-0005-0000-0000-000040120000}"/>
    <cellStyle name="Normal 2 3 49" xfId="4763" xr:uid="{00000000-0005-0000-0000-000041120000}"/>
    <cellStyle name="Normal 2 3 5" xfId="4764" xr:uid="{00000000-0005-0000-0000-000042120000}"/>
    <cellStyle name="Normal 2 3 50" xfId="4765" xr:uid="{00000000-0005-0000-0000-000043120000}"/>
    <cellStyle name="Normal 2 3 51" xfId="4766" xr:uid="{00000000-0005-0000-0000-000044120000}"/>
    <cellStyle name="Normal 2 3 6" xfId="4767" xr:uid="{00000000-0005-0000-0000-000045120000}"/>
    <cellStyle name="Normal 2 3 7" xfId="4768" xr:uid="{00000000-0005-0000-0000-000046120000}"/>
    <cellStyle name="Normal 2 3 8" xfId="4769" xr:uid="{00000000-0005-0000-0000-000047120000}"/>
    <cellStyle name="Normal 2 3 9" xfId="4770" xr:uid="{00000000-0005-0000-0000-000048120000}"/>
    <cellStyle name="Normal 2 30" xfId="4771" xr:uid="{00000000-0005-0000-0000-000049120000}"/>
    <cellStyle name="Normal 2 31" xfId="4772" xr:uid="{00000000-0005-0000-0000-00004A120000}"/>
    <cellStyle name="Normal 2 32" xfId="4773" xr:uid="{00000000-0005-0000-0000-00004B120000}"/>
    <cellStyle name="Normal 2 33" xfId="4774" xr:uid="{00000000-0005-0000-0000-00004C120000}"/>
    <cellStyle name="Normal 2 34" xfId="4775" xr:uid="{00000000-0005-0000-0000-00004D120000}"/>
    <cellStyle name="Normal 2 35" xfId="4776" xr:uid="{00000000-0005-0000-0000-00004E120000}"/>
    <cellStyle name="Normal 2 4" xfId="4777" xr:uid="{00000000-0005-0000-0000-00004F120000}"/>
    <cellStyle name="Normal 2 4 10" xfId="4778" xr:uid="{00000000-0005-0000-0000-000050120000}"/>
    <cellStyle name="Normal 2 4 11" xfId="4779" xr:uid="{00000000-0005-0000-0000-000051120000}"/>
    <cellStyle name="Normal 2 4 12" xfId="4780" xr:uid="{00000000-0005-0000-0000-000052120000}"/>
    <cellStyle name="Normal 2 4 13" xfId="4781" xr:uid="{00000000-0005-0000-0000-000053120000}"/>
    <cellStyle name="Normal 2 4 14" xfId="4782" xr:uid="{00000000-0005-0000-0000-000054120000}"/>
    <cellStyle name="Normal 2 4 15" xfId="4783" xr:uid="{00000000-0005-0000-0000-000055120000}"/>
    <cellStyle name="Normal 2 4 16" xfId="4784" xr:uid="{00000000-0005-0000-0000-000056120000}"/>
    <cellStyle name="Normal 2 4 17" xfId="4785" xr:uid="{00000000-0005-0000-0000-000057120000}"/>
    <cellStyle name="Normal 2 4 18" xfId="4786" xr:uid="{00000000-0005-0000-0000-000058120000}"/>
    <cellStyle name="Normal 2 4 19" xfId="4787" xr:uid="{00000000-0005-0000-0000-000059120000}"/>
    <cellStyle name="Normal 2 4 2" xfId="4788" xr:uid="{00000000-0005-0000-0000-00005A120000}"/>
    <cellStyle name="Normal 2 4 20" xfId="4789" xr:uid="{00000000-0005-0000-0000-00005B120000}"/>
    <cellStyle name="Normal 2 4 21" xfId="4790" xr:uid="{00000000-0005-0000-0000-00005C120000}"/>
    <cellStyle name="Normal 2 4 22" xfId="4791" xr:uid="{00000000-0005-0000-0000-00005D120000}"/>
    <cellStyle name="Normal 2 4 23" xfId="4792" xr:uid="{00000000-0005-0000-0000-00005E120000}"/>
    <cellStyle name="Normal 2 4 24" xfId="4793" xr:uid="{00000000-0005-0000-0000-00005F120000}"/>
    <cellStyle name="Normal 2 4 25" xfId="4794" xr:uid="{00000000-0005-0000-0000-000060120000}"/>
    <cellStyle name="Normal 2 4 26" xfId="4795" xr:uid="{00000000-0005-0000-0000-000061120000}"/>
    <cellStyle name="Normal 2 4 27" xfId="4796" xr:uid="{00000000-0005-0000-0000-000062120000}"/>
    <cellStyle name="Normal 2 4 28" xfId="4797" xr:uid="{00000000-0005-0000-0000-000063120000}"/>
    <cellStyle name="Normal 2 4 29" xfId="4798" xr:uid="{00000000-0005-0000-0000-000064120000}"/>
    <cellStyle name="Normal 2 4 3" xfId="4799" xr:uid="{00000000-0005-0000-0000-000065120000}"/>
    <cellStyle name="Normal 2 4 30" xfId="4800" xr:uid="{00000000-0005-0000-0000-000066120000}"/>
    <cellStyle name="Normal 2 4 31" xfId="4801" xr:uid="{00000000-0005-0000-0000-000067120000}"/>
    <cellStyle name="Normal 2 4 32" xfId="4802" xr:uid="{00000000-0005-0000-0000-000068120000}"/>
    <cellStyle name="Normal 2 4 33" xfId="4803" xr:uid="{00000000-0005-0000-0000-000069120000}"/>
    <cellStyle name="Normal 2 4 34" xfId="4804" xr:uid="{00000000-0005-0000-0000-00006A120000}"/>
    <cellStyle name="Normal 2 4 35" xfId="4805" xr:uid="{00000000-0005-0000-0000-00006B120000}"/>
    <cellStyle name="Normal 2 4 36" xfId="4806" xr:uid="{00000000-0005-0000-0000-00006C120000}"/>
    <cellStyle name="Normal 2 4 37" xfId="4807" xr:uid="{00000000-0005-0000-0000-00006D120000}"/>
    <cellStyle name="Normal 2 4 38" xfId="4808" xr:uid="{00000000-0005-0000-0000-00006E120000}"/>
    <cellStyle name="Normal 2 4 39" xfId="4809" xr:uid="{00000000-0005-0000-0000-00006F120000}"/>
    <cellStyle name="Normal 2 4 4" xfId="4810" xr:uid="{00000000-0005-0000-0000-000070120000}"/>
    <cellStyle name="Normal 2 4 40" xfId="4811" xr:uid="{00000000-0005-0000-0000-000071120000}"/>
    <cellStyle name="Normal 2 4 41" xfId="4812" xr:uid="{00000000-0005-0000-0000-000072120000}"/>
    <cellStyle name="Normal 2 4 42" xfId="4813" xr:uid="{00000000-0005-0000-0000-000073120000}"/>
    <cellStyle name="Normal 2 4 43" xfId="4814" xr:uid="{00000000-0005-0000-0000-000074120000}"/>
    <cellStyle name="Normal 2 4 44" xfId="4815" xr:uid="{00000000-0005-0000-0000-000075120000}"/>
    <cellStyle name="Normal 2 4 45" xfId="4816" xr:uid="{00000000-0005-0000-0000-000076120000}"/>
    <cellStyle name="Normal 2 4 46" xfId="4817" xr:uid="{00000000-0005-0000-0000-000077120000}"/>
    <cellStyle name="Normal 2 4 47" xfId="4818" xr:uid="{00000000-0005-0000-0000-000078120000}"/>
    <cellStyle name="Normal 2 4 48" xfId="4819" xr:uid="{00000000-0005-0000-0000-000079120000}"/>
    <cellStyle name="Normal 2 4 49" xfId="4820" xr:uid="{00000000-0005-0000-0000-00007A120000}"/>
    <cellStyle name="Normal 2 4 5" xfId="4821" xr:uid="{00000000-0005-0000-0000-00007B120000}"/>
    <cellStyle name="Normal 2 4 50" xfId="4822" xr:uid="{00000000-0005-0000-0000-00007C120000}"/>
    <cellStyle name="Normal 2 4 51" xfId="4823" xr:uid="{00000000-0005-0000-0000-00007D120000}"/>
    <cellStyle name="Normal 2 4 6" xfId="4824" xr:uid="{00000000-0005-0000-0000-00007E120000}"/>
    <cellStyle name="Normal 2 4 7" xfId="4825" xr:uid="{00000000-0005-0000-0000-00007F120000}"/>
    <cellStyle name="Normal 2 4 8" xfId="4826" xr:uid="{00000000-0005-0000-0000-000080120000}"/>
    <cellStyle name="Normal 2 4 9" xfId="4827" xr:uid="{00000000-0005-0000-0000-000081120000}"/>
    <cellStyle name="Normal 2 5" xfId="4828" xr:uid="{00000000-0005-0000-0000-000082120000}"/>
    <cellStyle name="Normal 2 5 10" xfId="4829" xr:uid="{00000000-0005-0000-0000-000083120000}"/>
    <cellStyle name="Normal 2 5 11" xfId="4830" xr:uid="{00000000-0005-0000-0000-000084120000}"/>
    <cellStyle name="Normal 2 5 12" xfId="4831" xr:uid="{00000000-0005-0000-0000-000085120000}"/>
    <cellStyle name="Normal 2 5 13" xfId="4832" xr:uid="{00000000-0005-0000-0000-000086120000}"/>
    <cellStyle name="Normal 2 5 14" xfId="4833" xr:uid="{00000000-0005-0000-0000-000087120000}"/>
    <cellStyle name="Normal 2 5 15" xfId="4834" xr:uid="{00000000-0005-0000-0000-000088120000}"/>
    <cellStyle name="Normal 2 5 16" xfId="4835" xr:uid="{00000000-0005-0000-0000-000089120000}"/>
    <cellStyle name="Normal 2 5 17" xfId="4836" xr:uid="{00000000-0005-0000-0000-00008A120000}"/>
    <cellStyle name="Normal 2 5 18" xfId="4837" xr:uid="{00000000-0005-0000-0000-00008B120000}"/>
    <cellStyle name="Normal 2 5 19" xfId="4838" xr:uid="{00000000-0005-0000-0000-00008C120000}"/>
    <cellStyle name="Normal 2 5 2" xfId="4839" xr:uid="{00000000-0005-0000-0000-00008D120000}"/>
    <cellStyle name="Normal 2 5 3" xfId="4840" xr:uid="{00000000-0005-0000-0000-00008E120000}"/>
    <cellStyle name="Normal 2 5 4" xfId="4841" xr:uid="{00000000-0005-0000-0000-00008F120000}"/>
    <cellStyle name="Normal 2 5 5" xfId="4842" xr:uid="{00000000-0005-0000-0000-000090120000}"/>
    <cellStyle name="Normal 2 5 6" xfId="4843" xr:uid="{00000000-0005-0000-0000-000091120000}"/>
    <cellStyle name="Normal 2 5 7" xfId="4844" xr:uid="{00000000-0005-0000-0000-000092120000}"/>
    <cellStyle name="Normal 2 5 8" xfId="4845" xr:uid="{00000000-0005-0000-0000-000093120000}"/>
    <cellStyle name="Normal 2 5 9" xfId="4846" xr:uid="{00000000-0005-0000-0000-000094120000}"/>
    <cellStyle name="Normal 2 6" xfId="4847" xr:uid="{00000000-0005-0000-0000-000095120000}"/>
    <cellStyle name="Normal 2 7" xfId="4848" xr:uid="{00000000-0005-0000-0000-000096120000}"/>
    <cellStyle name="Normal 2 8" xfId="4849" xr:uid="{00000000-0005-0000-0000-000097120000}"/>
    <cellStyle name="Normal 2 9" xfId="4850" xr:uid="{00000000-0005-0000-0000-000098120000}"/>
    <cellStyle name="Normal 2_10 01-12 WFCY_30%_master" xfId="4851" xr:uid="{00000000-0005-0000-0000-000099120000}"/>
    <cellStyle name="Normal 20" xfId="209" xr:uid="{00000000-0005-0000-0000-00009A120000}"/>
    <cellStyle name="Normal 20 10" xfId="4852" xr:uid="{00000000-0005-0000-0000-00009B120000}"/>
    <cellStyle name="Normal 20 11" xfId="4853" xr:uid="{00000000-0005-0000-0000-00009C120000}"/>
    <cellStyle name="Normal 20 12" xfId="4854" xr:uid="{00000000-0005-0000-0000-00009D120000}"/>
    <cellStyle name="Normal 20 13" xfId="4855" xr:uid="{00000000-0005-0000-0000-00009E120000}"/>
    <cellStyle name="Normal 20 14" xfId="4856" xr:uid="{00000000-0005-0000-0000-00009F120000}"/>
    <cellStyle name="Normal 20 15" xfId="4857" xr:uid="{00000000-0005-0000-0000-0000A0120000}"/>
    <cellStyle name="Normal 20 16" xfId="4858" xr:uid="{00000000-0005-0000-0000-0000A1120000}"/>
    <cellStyle name="Normal 20 17" xfId="4859" xr:uid="{00000000-0005-0000-0000-0000A2120000}"/>
    <cellStyle name="Normal 20 18" xfId="4860" xr:uid="{00000000-0005-0000-0000-0000A3120000}"/>
    <cellStyle name="Normal 20 19" xfId="4861" xr:uid="{00000000-0005-0000-0000-0000A4120000}"/>
    <cellStyle name="Normal 20 2" xfId="4862" xr:uid="{00000000-0005-0000-0000-0000A5120000}"/>
    <cellStyle name="Normal 20 3" xfId="4863" xr:uid="{00000000-0005-0000-0000-0000A6120000}"/>
    <cellStyle name="Normal 20 4" xfId="4864" xr:uid="{00000000-0005-0000-0000-0000A7120000}"/>
    <cellStyle name="Normal 20 5" xfId="4865" xr:uid="{00000000-0005-0000-0000-0000A8120000}"/>
    <cellStyle name="Normal 20 6" xfId="4866" xr:uid="{00000000-0005-0000-0000-0000A9120000}"/>
    <cellStyle name="Normal 20 7" xfId="4867" xr:uid="{00000000-0005-0000-0000-0000AA120000}"/>
    <cellStyle name="Normal 20 8" xfId="4868" xr:uid="{00000000-0005-0000-0000-0000AB120000}"/>
    <cellStyle name="Normal 20 9" xfId="4869" xr:uid="{00000000-0005-0000-0000-0000AC120000}"/>
    <cellStyle name="Normal 21" xfId="49" xr:uid="{00000000-0005-0000-0000-0000AD120000}"/>
    <cellStyle name="Normal 21 10" xfId="4870" xr:uid="{00000000-0005-0000-0000-0000AE120000}"/>
    <cellStyle name="Normal 21 11" xfId="4871" xr:uid="{00000000-0005-0000-0000-0000AF120000}"/>
    <cellStyle name="Normal 21 12" xfId="4872" xr:uid="{00000000-0005-0000-0000-0000B0120000}"/>
    <cellStyle name="Normal 21 13" xfId="4873" xr:uid="{00000000-0005-0000-0000-0000B1120000}"/>
    <cellStyle name="Normal 21 14" xfId="4874" xr:uid="{00000000-0005-0000-0000-0000B2120000}"/>
    <cellStyle name="Normal 21 15" xfId="4875" xr:uid="{00000000-0005-0000-0000-0000B3120000}"/>
    <cellStyle name="Normal 21 16" xfId="4876" xr:uid="{00000000-0005-0000-0000-0000B4120000}"/>
    <cellStyle name="Normal 21 17" xfId="4877" xr:uid="{00000000-0005-0000-0000-0000B5120000}"/>
    <cellStyle name="Normal 21 18" xfId="4878" xr:uid="{00000000-0005-0000-0000-0000B6120000}"/>
    <cellStyle name="Normal 21 19" xfId="4879" xr:uid="{00000000-0005-0000-0000-0000B7120000}"/>
    <cellStyle name="Normal 21 2" xfId="4880" xr:uid="{00000000-0005-0000-0000-0000B8120000}"/>
    <cellStyle name="Normal 21 3" xfId="4881" xr:uid="{00000000-0005-0000-0000-0000B9120000}"/>
    <cellStyle name="Normal 21 4" xfId="4882" xr:uid="{00000000-0005-0000-0000-0000BA120000}"/>
    <cellStyle name="Normal 21 5" xfId="4883" xr:uid="{00000000-0005-0000-0000-0000BB120000}"/>
    <cellStyle name="Normal 21 6" xfId="4884" xr:uid="{00000000-0005-0000-0000-0000BC120000}"/>
    <cellStyle name="Normal 21 7" xfId="4885" xr:uid="{00000000-0005-0000-0000-0000BD120000}"/>
    <cellStyle name="Normal 21 8" xfId="4886" xr:uid="{00000000-0005-0000-0000-0000BE120000}"/>
    <cellStyle name="Normal 21 9" xfId="4887" xr:uid="{00000000-0005-0000-0000-0000BF120000}"/>
    <cellStyle name="Normal 22" xfId="211" xr:uid="{00000000-0005-0000-0000-0000C0120000}"/>
    <cellStyle name="Normal 22 10" xfId="4888" xr:uid="{00000000-0005-0000-0000-0000C1120000}"/>
    <cellStyle name="Normal 22 11" xfId="4889" xr:uid="{00000000-0005-0000-0000-0000C2120000}"/>
    <cellStyle name="Normal 22 12" xfId="4890" xr:uid="{00000000-0005-0000-0000-0000C3120000}"/>
    <cellStyle name="Normal 22 13" xfId="4891" xr:uid="{00000000-0005-0000-0000-0000C4120000}"/>
    <cellStyle name="Normal 22 14" xfId="4892" xr:uid="{00000000-0005-0000-0000-0000C5120000}"/>
    <cellStyle name="Normal 22 15" xfId="4893" xr:uid="{00000000-0005-0000-0000-0000C6120000}"/>
    <cellStyle name="Normal 22 16" xfId="4894" xr:uid="{00000000-0005-0000-0000-0000C7120000}"/>
    <cellStyle name="Normal 22 17" xfId="4895" xr:uid="{00000000-0005-0000-0000-0000C8120000}"/>
    <cellStyle name="Normal 22 18" xfId="4896" xr:uid="{00000000-0005-0000-0000-0000C9120000}"/>
    <cellStyle name="Normal 22 19" xfId="4897" xr:uid="{00000000-0005-0000-0000-0000CA120000}"/>
    <cellStyle name="Normal 22 2" xfId="4898" xr:uid="{00000000-0005-0000-0000-0000CB120000}"/>
    <cellStyle name="Normal 22 20" xfId="4899" xr:uid="{00000000-0005-0000-0000-0000CC120000}"/>
    <cellStyle name="Normal 22 3" xfId="4900" xr:uid="{00000000-0005-0000-0000-0000CD120000}"/>
    <cellStyle name="Normal 22 4" xfId="4901" xr:uid="{00000000-0005-0000-0000-0000CE120000}"/>
    <cellStyle name="Normal 22 5" xfId="4902" xr:uid="{00000000-0005-0000-0000-0000CF120000}"/>
    <cellStyle name="Normal 22 6" xfId="4903" xr:uid="{00000000-0005-0000-0000-0000D0120000}"/>
    <cellStyle name="Normal 22 7" xfId="4904" xr:uid="{00000000-0005-0000-0000-0000D1120000}"/>
    <cellStyle name="Normal 22 8" xfId="4905" xr:uid="{00000000-0005-0000-0000-0000D2120000}"/>
    <cellStyle name="Normal 22 9" xfId="4906" xr:uid="{00000000-0005-0000-0000-0000D3120000}"/>
    <cellStyle name="Normal 23" xfId="4907" xr:uid="{00000000-0005-0000-0000-0000D4120000}"/>
    <cellStyle name="Normal 23 10" xfId="4908" xr:uid="{00000000-0005-0000-0000-0000D5120000}"/>
    <cellStyle name="Normal 23 11" xfId="4909" xr:uid="{00000000-0005-0000-0000-0000D6120000}"/>
    <cellStyle name="Normal 23 12" xfId="4910" xr:uid="{00000000-0005-0000-0000-0000D7120000}"/>
    <cellStyle name="Normal 23 13" xfId="4911" xr:uid="{00000000-0005-0000-0000-0000D8120000}"/>
    <cellStyle name="Normal 23 14" xfId="4912" xr:uid="{00000000-0005-0000-0000-0000D9120000}"/>
    <cellStyle name="Normal 23 15" xfId="4913" xr:uid="{00000000-0005-0000-0000-0000DA120000}"/>
    <cellStyle name="Normal 23 16" xfId="4914" xr:uid="{00000000-0005-0000-0000-0000DB120000}"/>
    <cellStyle name="Normal 23 17" xfId="4915" xr:uid="{00000000-0005-0000-0000-0000DC120000}"/>
    <cellStyle name="Normal 23 18" xfId="4916" xr:uid="{00000000-0005-0000-0000-0000DD120000}"/>
    <cellStyle name="Normal 23 19" xfId="4917" xr:uid="{00000000-0005-0000-0000-0000DE120000}"/>
    <cellStyle name="Normal 23 2" xfId="4918" xr:uid="{00000000-0005-0000-0000-0000DF120000}"/>
    <cellStyle name="Normal 23 3" xfId="4919" xr:uid="{00000000-0005-0000-0000-0000E0120000}"/>
    <cellStyle name="Normal 23 4" xfId="4920" xr:uid="{00000000-0005-0000-0000-0000E1120000}"/>
    <cellStyle name="Normal 23 5" xfId="4921" xr:uid="{00000000-0005-0000-0000-0000E2120000}"/>
    <cellStyle name="Normal 23 6" xfId="4922" xr:uid="{00000000-0005-0000-0000-0000E3120000}"/>
    <cellStyle name="Normal 23 7" xfId="4923" xr:uid="{00000000-0005-0000-0000-0000E4120000}"/>
    <cellStyle name="Normal 23 8" xfId="4924" xr:uid="{00000000-0005-0000-0000-0000E5120000}"/>
    <cellStyle name="Normal 23 9" xfId="4925" xr:uid="{00000000-0005-0000-0000-0000E6120000}"/>
    <cellStyle name="Normal 24" xfId="4926" xr:uid="{00000000-0005-0000-0000-0000E7120000}"/>
    <cellStyle name="Normal 25" xfId="4927" xr:uid="{00000000-0005-0000-0000-0000E8120000}"/>
    <cellStyle name="Normal 26" xfId="4928" xr:uid="{00000000-0005-0000-0000-0000E9120000}"/>
    <cellStyle name="Normal 27" xfId="4929" xr:uid="{00000000-0005-0000-0000-0000EA120000}"/>
    <cellStyle name="Normal 28" xfId="4930" xr:uid="{00000000-0005-0000-0000-0000EB120000}"/>
    <cellStyle name="Normal 29" xfId="4931" xr:uid="{00000000-0005-0000-0000-0000EC120000}"/>
    <cellStyle name="Normal 29 2" xfId="4932" xr:uid="{00000000-0005-0000-0000-0000ED120000}"/>
    <cellStyle name="Normal 29 3" xfId="4933" xr:uid="{00000000-0005-0000-0000-0000EE120000}"/>
    <cellStyle name="Normal 29 4" xfId="4934" xr:uid="{00000000-0005-0000-0000-0000EF120000}"/>
    <cellStyle name="Normal 3" xfId="6" xr:uid="{00000000-0005-0000-0000-0000F0120000}"/>
    <cellStyle name="Normal 3 10" xfId="4935" xr:uid="{00000000-0005-0000-0000-0000F1120000}"/>
    <cellStyle name="Normal 3 11" xfId="4936" xr:uid="{00000000-0005-0000-0000-0000F2120000}"/>
    <cellStyle name="Normal 3 12" xfId="4937" xr:uid="{00000000-0005-0000-0000-0000F3120000}"/>
    <cellStyle name="Normal 3 13" xfId="4938" xr:uid="{00000000-0005-0000-0000-0000F4120000}"/>
    <cellStyle name="Normal 3 14" xfId="4939" xr:uid="{00000000-0005-0000-0000-0000F5120000}"/>
    <cellStyle name="Normal 3 15" xfId="4940" xr:uid="{00000000-0005-0000-0000-0000F6120000}"/>
    <cellStyle name="Normal 3 16" xfId="4941" xr:uid="{00000000-0005-0000-0000-0000F7120000}"/>
    <cellStyle name="Normal 3 17" xfId="4942" xr:uid="{00000000-0005-0000-0000-0000F8120000}"/>
    <cellStyle name="Normal 3 18" xfId="4943" xr:uid="{00000000-0005-0000-0000-0000F9120000}"/>
    <cellStyle name="Normal 3 19" xfId="4944" xr:uid="{00000000-0005-0000-0000-0000FA120000}"/>
    <cellStyle name="Normal 3 2" xfId="158" xr:uid="{00000000-0005-0000-0000-0000FB120000}"/>
    <cellStyle name="Normal 3 2 10" xfId="4945" xr:uid="{00000000-0005-0000-0000-0000FC120000}"/>
    <cellStyle name="Normal 3 2 11" xfId="4946" xr:uid="{00000000-0005-0000-0000-0000FD120000}"/>
    <cellStyle name="Normal 3 2 12" xfId="4947" xr:uid="{00000000-0005-0000-0000-0000FE120000}"/>
    <cellStyle name="Normal 3 2 13" xfId="4948" xr:uid="{00000000-0005-0000-0000-0000FF120000}"/>
    <cellStyle name="Normal 3 2 14" xfId="4949" xr:uid="{00000000-0005-0000-0000-000000130000}"/>
    <cellStyle name="Normal 3 2 15" xfId="4950" xr:uid="{00000000-0005-0000-0000-000001130000}"/>
    <cellStyle name="Normal 3 2 16" xfId="4951" xr:uid="{00000000-0005-0000-0000-000002130000}"/>
    <cellStyle name="Normal 3 2 17" xfId="4952" xr:uid="{00000000-0005-0000-0000-000003130000}"/>
    <cellStyle name="Normal 3 2 18" xfId="4953" xr:uid="{00000000-0005-0000-0000-000004130000}"/>
    <cellStyle name="Normal 3 2 19" xfId="4954" xr:uid="{00000000-0005-0000-0000-000005130000}"/>
    <cellStyle name="Normal 3 2 2" xfId="4955" xr:uid="{00000000-0005-0000-0000-000006130000}"/>
    <cellStyle name="Normal 3 2 20" xfId="4956" xr:uid="{00000000-0005-0000-0000-000007130000}"/>
    <cellStyle name="Normal 3 2 3" xfId="4957" xr:uid="{00000000-0005-0000-0000-000008130000}"/>
    <cellStyle name="Normal 3 2 4" xfId="4958" xr:uid="{00000000-0005-0000-0000-000009130000}"/>
    <cellStyle name="Normal 3 2 5" xfId="4959" xr:uid="{00000000-0005-0000-0000-00000A130000}"/>
    <cellStyle name="Normal 3 2 6" xfId="4960" xr:uid="{00000000-0005-0000-0000-00000B130000}"/>
    <cellStyle name="Normal 3 2 7" xfId="4961" xr:uid="{00000000-0005-0000-0000-00000C130000}"/>
    <cellStyle name="Normal 3 2 8" xfId="4962" xr:uid="{00000000-0005-0000-0000-00000D130000}"/>
    <cellStyle name="Normal 3 2 9" xfId="4963" xr:uid="{00000000-0005-0000-0000-00000E130000}"/>
    <cellStyle name="Normal 3 20" xfId="4964" xr:uid="{00000000-0005-0000-0000-00000F130000}"/>
    <cellStyle name="Normal 3 21" xfId="4965" xr:uid="{00000000-0005-0000-0000-000010130000}"/>
    <cellStyle name="Normal 3 22" xfId="4966" xr:uid="{00000000-0005-0000-0000-000011130000}"/>
    <cellStyle name="Normal 3 3" xfId="109" xr:uid="{00000000-0005-0000-0000-000012130000}"/>
    <cellStyle name="Normal 3 3 2" xfId="4967" xr:uid="{00000000-0005-0000-0000-000013130000}"/>
    <cellStyle name="Normal 3 4" xfId="4968" xr:uid="{00000000-0005-0000-0000-000014130000}"/>
    <cellStyle name="Normal 3 5" xfId="4969" xr:uid="{00000000-0005-0000-0000-000015130000}"/>
    <cellStyle name="Normal 3 6" xfId="4970" xr:uid="{00000000-0005-0000-0000-000016130000}"/>
    <cellStyle name="Normal 3 7" xfId="4971" xr:uid="{00000000-0005-0000-0000-000017130000}"/>
    <cellStyle name="Normal 3 8" xfId="4972" xr:uid="{00000000-0005-0000-0000-000018130000}"/>
    <cellStyle name="Normal 3 9" xfId="4973" xr:uid="{00000000-0005-0000-0000-000019130000}"/>
    <cellStyle name="Normal 30" xfId="4974" xr:uid="{00000000-0005-0000-0000-00001A130000}"/>
    <cellStyle name="Normal 30 2" xfId="4975" xr:uid="{00000000-0005-0000-0000-00001B130000}"/>
    <cellStyle name="Normal 30 3" xfId="4976" xr:uid="{00000000-0005-0000-0000-00001C130000}"/>
    <cellStyle name="Normal 30 4" xfId="4977" xr:uid="{00000000-0005-0000-0000-00001D130000}"/>
    <cellStyle name="Normal 31" xfId="4978" xr:uid="{00000000-0005-0000-0000-00001E130000}"/>
    <cellStyle name="Normal 31 2" xfId="4979" xr:uid="{00000000-0005-0000-0000-00001F130000}"/>
    <cellStyle name="Normal 31 3" xfId="4980" xr:uid="{00000000-0005-0000-0000-000020130000}"/>
    <cellStyle name="Normal 31 4" xfId="4981" xr:uid="{00000000-0005-0000-0000-000021130000}"/>
    <cellStyle name="Normal 32" xfId="4982" xr:uid="{00000000-0005-0000-0000-000022130000}"/>
    <cellStyle name="Normal 32 2" xfId="4983" xr:uid="{00000000-0005-0000-0000-000023130000}"/>
    <cellStyle name="Normal 32 3" xfId="4984" xr:uid="{00000000-0005-0000-0000-000024130000}"/>
    <cellStyle name="Normal 32 4" xfId="4985" xr:uid="{00000000-0005-0000-0000-000025130000}"/>
    <cellStyle name="Normal 33" xfId="4986" xr:uid="{00000000-0005-0000-0000-000026130000}"/>
    <cellStyle name="Normal 33 2" xfId="4987" xr:uid="{00000000-0005-0000-0000-000027130000}"/>
    <cellStyle name="Normal 33 3" xfId="4988" xr:uid="{00000000-0005-0000-0000-000028130000}"/>
    <cellStyle name="Normal 33 4" xfId="4989" xr:uid="{00000000-0005-0000-0000-000029130000}"/>
    <cellStyle name="Normal 34" xfId="4990" xr:uid="{00000000-0005-0000-0000-00002A130000}"/>
    <cellStyle name="Normal 34 2" xfId="4991" xr:uid="{00000000-0005-0000-0000-00002B130000}"/>
    <cellStyle name="Normal 34 3" xfId="4992" xr:uid="{00000000-0005-0000-0000-00002C130000}"/>
    <cellStyle name="Normal 34 4" xfId="4993" xr:uid="{00000000-0005-0000-0000-00002D130000}"/>
    <cellStyle name="Normal 35" xfId="4994" xr:uid="{00000000-0005-0000-0000-00002E130000}"/>
    <cellStyle name="Normal 35 2" xfId="4995" xr:uid="{00000000-0005-0000-0000-00002F130000}"/>
    <cellStyle name="Normal 35 3" xfId="4996" xr:uid="{00000000-0005-0000-0000-000030130000}"/>
    <cellStyle name="Normal 35 4" xfId="4997" xr:uid="{00000000-0005-0000-0000-000031130000}"/>
    <cellStyle name="Normal 36" xfId="4998" xr:uid="{00000000-0005-0000-0000-000032130000}"/>
    <cellStyle name="Normal 36 2" xfId="4999" xr:uid="{00000000-0005-0000-0000-000033130000}"/>
    <cellStyle name="Normal 36 3" xfId="5000" xr:uid="{00000000-0005-0000-0000-000034130000}"/>
    <cellStyle name="Normal 36 4" xfId="5001" xr:uid="{00000000-0005-0000-0000-000035130000}"/>
    <cellStyle name="Normal 37" xfId="5002" xr:uid="{00000000-0005-0000-0000-000036130000}"/>
    <cellStyle name="Normal 37 2" xfId="5003" xr:uid="{00000000-0005-0000-0000-000037130000}"/>
    <cellStyle name="Normal 37 3" xfId="5004" xr:uid="{00000000-0005-0000-0000-000038130000}"/>
    <cellStyle name="Normal 37 4" xfId="5005" xr:uid="{00000000-0005-0000-0000-000039130000}"/>
    <cellStyle name="Normal 38" xfId="5006" xr:uid="{00000000-0005-0000-0000-00003A130000}"/>
    <cellStyle name="Normal 38 2" xfId="5007" xr:uid="{00000000-0005-0000-0000-00003B130000}"/>
    <cellStyle name="Normal 38 3" xfId="5008" xr:uid="{00000000-0005-0000-0000-00003C130000}"/>
    <cellStyle name="Normal 38 4" xfId="5009" xr:uid="{00000000-0005-0000-0000-00003D130000}"/>
    <cellStyle name="Normal 39" xfId="5010" xr:uid="{00000000-0005-0000-0000-00003E130000}"/>
    <cellStyle name="Normal 39 2" xfId="5011" xr:uid="{00000000-0005-0000-0000-00003F130000}"/>
    <cellStyle name="Normal 39 3" xfId="5012" xr:uid="{00000000-0005-0000-0000-000040130000}"/>
    <cellStyle name="Normal 39 4" xfId="5013" xr:uid="{00000000-0005-0000-0000-000041130000}"/>
    <cellStyle name="Normal 4" xfId="110" xr:uid="{00000000-0005-0000-0000-000042130000}"/>
    <cellStyle name="Normal 4 2" xfId="111" xr:uid="{00000000-0005-0000-0000-000043130000}"/>
    <cellStyle name="Normal 4 2 2" xfId="5014" xr:uid="{00000000-0005-0000-0000-000044130000}"/>
    <cellStyle name="Normal 4 3" xfId="137" xr:uid="{00000000-0005-0000-0000-000045130000}"/>
    <cellStyle name="Normal 4 4" xfId="5015" xr:uid="{00000000-0005-0000-0000-000046130000}"/>
    <cellStyle name="Normal 4 5" xfId="5016" xr:uid="{00000000-0005-0000-0000-000047130000}"/>
    <cellStyle name="Normal 4 6" xfId="5017" xr:uid="{00000000-0005-0000-0000-000048130000}"/>
    <cellStyle name="Normal 4 7" xfId="5018" xr:uid="{00000000-0005-0000-0000-000049130000}"/>
    <cellStyle name="Normal 4_Fuel_Prod_TS" xfId="112" xr:uid="{00000000-0005-0000-0000-00004A130000}"/>
    <cellStyle name="Normal 40 2" xfId="5019" xr:uid="{00000000-0005-0000-0000-00004B130000}"/>
    <cellStyle name="Normal 40 3" xfId="5020" xr:uid="{00000000-0005-0000-0000-00004C130000}"/>
    <cellStyle name="Normal 40 4" xfId="5021" xr:uid="{00000000-0005-0000-0000-00004D130000}"/>
    <cellStyle name="Normal 41 2" xfId="5022" xr:uid="{00000000-0005-0000-0000-00004E130000}"/>
    <cellStyle name="Normal 41 3" xfId="5023" xr:uid="{00000000-0005-0000-0000-00004F130000}"/>
    <cellStyle name="Normal 41 4" xfId="5024" xr:uid="{00000000-0005-0000-0000-000050130000}"/>
    <cellStyle name="Normal 42" xfId="5025" xr:uid="{00000000-0005-0000-0000-000051130000}"/>
    <cellStyle name="Normal 42 2" xfId="5026" xr:uid="{00000000-0005-0000-0000-000052130000}"/>
    <cellStyle name="Normal 42 3" xfId="5027" xr:uid="{00000000-0005-0000-0000-000053130000}"/>
    <cellStyle name="Normal 42 4" xfId="5028" xr:uid="{00000000-0005-0000-0000-000054130000}"/>
    <cellStyle name="Normal 43 2" xfId="5029" xr:uid="{00000000-0005-0000-0000-000055130000}"/>
    <cellStyle name="Normal 43 3" xfId="5030" xr:uid="{00000000-0005-0000-0000-000056130000}"/>
    <cellStyle name="Normal 43 4" xfId="5031" xr:uid="{00000000-0005-0000-0000-000057130000}"/>
    <cellStyle name="Normal 45" xfId="5032" xr:uid="{00000000-0005-0000-0000-000058130000}"/>
    <cellStyle name="Normal 48" xfId="5033" xr:uid="{00000000-0005-0000-0000-000059130000}"/>
    <cellStyle name="Normal 5" xfId="113" xr:uid="{00000000-0005-0000-0000-00005A130000}"/>
    <cellStyle name="Normal 5 10" xfId="5034" xr:uid="{00000000-0005-0000-0000-00005B130000}"/>
    <cellStyle name="Normal 5 11" xfId="5035" xr:uid="{00000000-0005-0000-0000-00005C130000}"/>
    <cellStyle name="Normal 5 12" xfId="5036" xr:uid="{00000000-0005-0000-0000-00005D130000}"/>
    <cellStyle name="Normal 5 13" xfId="5037" xr:uid="{00000000-0005-0000-0000-00005E130000}"/>
    <cellStyle name="Normal 5 14" xfId="5038" xr:uid="{00000000-0005-0000-0000-00005F130000}"/>
    <cellStyle name="Normal 5 15" xfId="5039" xr:uid="{00000000-0005-0000-0000-000060130000}"/>
    <cellStyle name="Normal 5 16" xfId="5040" xr:uid="{00000000-0005-0000-0000-000061130000}"/>
    <cellStyle name="Normal 5 17" xfId="5041" xr:uid="{00000000-0005-0000-0000-000062130000}"/>
    <cellStyle name="Normal 5 18" xfId="5042" xr:uid="{00000000-0005-0000-0000-000063130000}"/>
    <cellStyle name="Normal 5 19" xfId="5043" xr:uid="{00000000-0005-0000-0000-000064130000}"/>
    <cellStyle name="Normal 5 2" xfId="5044" xr:uid="{00000000-0005-0000-0000-000065130000}"/>
    <cellStyle name="Normal 5 20" xfId="5045" xr:uid="{00000000-0005-0000-0000-000066130000}"/>
    <cellStyle name="Normal 5 21" xfId="5046" xr:uid="{00000000-0005-0000-0000-000067130000}"/>
    <cellStyle name="Normal 5 3" xfId="5047" xr:uid="{00000000-0005-0000-0000-000068130000}"/>
    <cellStyle name="Normal 5 4" xfId="5048" xr:uid="{00000000-0005-0000-0000-000069130000}"/>
    <cellStyle name="Normal 5 5" xfId="5049" xr:uid="{00000000-0005-0000-0000-00006A130000}"/>
    <cellStyle name="Normal 5 6" xfId="5050" xr:uid="{00000000-0005-0000-0000-00006B130000}"/>
    <cellStyle name="Normal 5 7" xfId="5051" xr:uid="{00000000-0005-0000-0000-00006C130000}"/>
    <cellStyle name="Normal 5 8" xfId="5052" xr:uid="{00000000-0005-0000-0000-00006D130000}"/>
    <cellStyle name="Normal 5 9" xfId="5053" xr:uid="{00000000-0005-0000-0000-00006E130000}"/>
    <cellStyle name="Normal 50" xfId="5054" xr:uid="{00000000-0005-0000-0000-00006F130000}"/>
    <cellStyle name="Normal 51" xfId="5055" xr:uid="{00000000-0005-0000-0000-000070130000}"/>
    <cellStyle name="Normal 54" xfId="5056" xr:uid="{00000000-0005-0000-0000-000071130000}"/>
    <cellStyle name="Normal 57" xfId="5057" xr:uid="{00000000-0005-0000-0000-000072130000}"/>
    <cellStyle name="Normal 58" xfId="5058" xr:uid="{00000000-0005-0000-0000-000073130000}"/>
    <cellStyle name="Normal 58 10" xfId="5059" xr:uid="{00000000-0005-0000-0000-000074130000}"/>
    <cellStyle name="Normal 58 11" xfId="5060" xr:uid="{00000000-0005-0000-0000-000075130000}"/>
    <cellStyle name="Normal 58 12" xfId="5061" xr:uid="{00000000-0005-0000-0000-000076130000}"/>
    <cellStyle name="Normal 58 13" xfId="5062" xr:uid="{00000000-0005-0000-0000-000077130000}"/>
    <cellStyle name="Normal 58 14" xfId="5063" xr:uid="{00000000-0005-0000-0000-000078130000}"/>
    <cellStyle name="Normal 58 15" xfId="5064" xr:uid="{00000000-0005-0000-0000-000079130000}"/>
    <cellStyle name="Normal 58 16" xfId="5065" xr:uid="{00000000-0005-0000-0000-00007A130000}"/>
    <cellStyle name="Normal 58 17" xfId="5066" xr:uid="{00000000-0005-0000-0000-00007B130000}"/>
    <cellStyle name="Normal 58 18" xfId="5067" xr:uid="{00000000-0005-0000-0000-00007C130000}"/>
    <cellStyle name="Normal 58 19" xfId="5068" xr:uid="{00000000-0005-0000-0000-00007D130000}"/>
    <cellStyle name="Normal 58 2" xfId="5069" xr:uid="{00000000-0005-0000-0000-00007E130000}"/>
    <cellStyle name="Normal 58 3" xfId="5070" xr:uid="{00000000-0005-0000-0000-00007F130000}"/>
    <cellStyle name="Normal 58 4" xfId="5071" xr:uid="{00000000-0005-0000-0000-000080130000}"/>
    <cellStyle name="Normal 58 5" xfId="5072" xr:uid="{00000000-0005-0000-0000-000081130000}"/>
    <cellStyle name="Normal 58 6" xfId="5073" xr:uid="{00000000-0005-0000-0000-000082130000}"/>
    <cellStyle name="Normal 58 7" xfId="5074" xr:uid="{00000000-0005-0000-0000-000083130000}"/>
    <cellStyle name="Normal 58 8" xfId="5075" xr:uid="{00000000-0005-0000-0000-000084130000}"/>
    <cellStyle name="Normal 58 9" xfId="5076" xr:uid="{00000000-0005-0000-0000-000085130000}"/>
    <cellStyle name="Normal 6" xfId="114" xr:uid="{00000000-0005-0000-0000-000086130000}"/>
    <cellStyle name="Normal 6 10" xfId="5077" xr:uid="{00000000-0005-0000-0000-000087130000}"/>
    <cellStyle name="Normal 6 11" xfId="5078" xr:uid="{00000000-0005-0000-0000-000088130000}"/>
    <cellStyle name="Normal 6 12" xfId="5079" xr:uid="{00000000-0005-0000-0000-000089130000}"/>
    <cellStyle name="Normal 6 13" xfId="5080" xr:uid="{00000000-0005-0000-0000-00008A130000}"/>
    <cellStyle name="Normal 6 14" xfId="5081" xr:uid="{00000000-0005-0000-0000-00008B130000}"/>
    <cellStyle name="Normal 6 15" xfId="5082" xr:uid="{00000000-0005-0000-0000-00008C130000}"/>
    <cellStyle name="Normal 6 16" xfId="5083" xr:uid="{00000000-0005-0000-0000-00008D130000}"/>
    <cellStyle name="Normal 6 17" xfId="5084" xr:uid="{00000000-0005-0000-0000-00008E130000}"/>
    <cellStyle name="Normal 6 18" xfId="5085" xr:uid="{00000000-0005-0000-0000-00008F130000}"/>
    <cellStyle name="Normal 6 19" xfId="5086" xr:uid="{00000000-0005-0000-0000-000090130000}"/>
    <cellStyle name="Normal 6 2" xfId="5087" xr:uid="{00000000-0005-0000-0000-000091130000}"/>
    <cellStyle name="Normal 6 3" xfId="5088" xr:uid="{00000000-0005-0000-0000-000092130000}"/>
    <cellStyle name="Normal 6 4" xfId="5089" xr:uid="{00000000-0005-0000-0000-000093130000}"/>
    <cellStyle name="Normal 6 5" xfId="5090" xr:uid="{00000000-0005-0000-0000-000094130000}"/>
    <cellStyle name="Normal 6 6" xfId="5091" xr:uid="{00000000-0005-0000-0000-000095130000}"/>
    <cellStyle name="Normal 6 7" xfId="5092" xr:uid="{00000000-0005-0000-0000-000096130000}"/>
    <cellStyle name="Normal 6 8" xfId="5093" xr:uid="{00000000-0005-0000-0000-000097130000}"/>
    <cellStyle name="Normal 6 9" xfId="5094" xr:uid="{00000000-0005-0000-0000-000098130000}"/>
    <cellStyle name="Normal 61" xfId="5095" xr:uid="{00000000-0005-0000-0000-000099130000}"/>
    <cellStyle name="Normal 63" xfId="5096" xr:uid="{00000000-0005-0000-0000-00009A130000}"/>
    <cellStyle name="Normal 66" xfId="5097" xr:uid="{00000000-0005-0000-0000-00009B130000}"/>
    <cellStyle name="Normal 7" xfId="115" xr:uid="{00000000-0005-0000-0000-00009C130000}"/>
    <cellStyle name="Normal 7 10" xfId="5098" xr:uid="{00000000-0005-0000-0000-00009D130000}"/>
    <cellStyle name="Normal 7 11" xfId="5099" xr:uid="{00000000-0005-0000-0000-00009E130000}"/>
    <cellStyle name="Normal 7 12" xfId="5100" xr:uid="{00000000-0005-0000-0000-00009F130000}"/>
    <cellStyle name="Normal 7 13" xfId="5101" xr:uid="{00000000-0005-0000-0000-0000A0130000}"/>
    <cellStyle name="Normal 7 14" xfId="5102" xr:uid="{00000000-0005-0000-0000-0000A1130000}"/>
    <cellStyle name="Normal 7 15" xfId="5103" xr:uid="{00000000-0005-0000-0000-0000A2130000}"/>
    <cellStyle name="Normal 7 16" xfId="5104" xr:uid="{00000000-0005-0000-0000-0000A3130000}"/>
    <cellStyle name="Normal 7 17" xfId="5105" xr:uid="{00000000-0005-0000-0000-0000A4130000}"/>
    <cellStyle name="Normal 7 18" xfId="5106" xr:uid="{00000000-0005-0000-0000-0000A5130000}"/>
    <cellStyle name="Normal 7 19" xfId="5107" xr:uid="{00000000-0005-0000-0000-0000A6130000}"/>
    <cellStyle name="Normal 7 2" xfId="5108" xr:uid="{00000000-0005-0000-0000-0000A7130000}"/>
    <cellStyle name="Normal 7 2 2" xfId="5109" xr:uid="{00000000-0005-0000-0000-0000A8130000}"/>
    <cellStyle name="Normal 7 2 2 2" xfId="5110" xr:uid="{00000000-0005-0000-0000-0000A9130000}"/>
    <cellStyle name="Normal 7 2 2 3" xfId="5111" xr:uid="{00000000-0005-0000-0000-0000AA130000}"/>
    <cellStyle name="Normal 7 2 3" xfId="5112" xr:uid="{00000000-0005-0000-0000-0000AB130000}"/>
    <cellStyle name="Normal 7 20" xfId="5113" xr:uid="{00000000-0005-0000-0000-0000AC130000}"/>
    <cellStyle name="Normal 7 21" xfId="5114" xr:uid="{00000000-0005-0000-0000-0000AD130000}"/>
    <cellStyle name="Normal 7 22" xfId="5115" xr:uid="{00000000-0005-0000-0000-0000AE130000}"/>
    <cellStyle name="Normal 7 3" xfId="5116" xr:uid="{00000000-0005-0000-0000-0000AF130000}"/>
    <cellStyle name="Normal 7 4" xfId="5117" xr:uid="{00000000-0005-0000-0000-0000B0130000}"/>
    <cellStyle name="Normal 7 5" xfId="5118" xr:uid="{00000000-0005-0000-0000-0000B1130000}"/>
    <cellStyle name="Normal 7 6" xfId="5119" xr:uid="{00000000-0005-0000-0000-0000B2130000}"/>
    <cellStyle name="Normal 7 7" xfId="5120" xr:uid="{00000000-0005-0000-0000-0000B3130000}"/>
    <cellStyle name="Normal 7 8" xfId="5121" xr:uid="{00000000-0005-0000-0000-0000B4130000}"/>
    <cellStyle name="Normal 7 9" xfId="5122" xr:uid="{00000000-0005-0000-0000-0000B5130000}"/>
    <cellStyle name="Normal 71" xfId="5123" xr:uid="{00000000-0005-0000-0000-0000B6130000}"/>
    <cellStyle name="Normal 76" xfId="5124" xr:uid="{00000000-0005-0000-0000-0000B7130000}"/>
    <cellStyle name="Normal 78" xfId="5125" xr:uid="{00000000-0005-0000-0000-0000B8130000}"/>
    <cellStyle name="Normal 79" xfId="5126" xr:uid="{00000000-0005-0000-0000-0000B9130000}"/>
    <cellStyle name="Normal 8" xfId="116" xr:uid="{00000000-0005-0000-0000-0000BA130000}"/>
    <cellStyle name="Normal 8 10" xfId="5127" xr:uid="{00000000-0005-0000-0000-0000BB130000}"/>
    <cellStyle name="Normal 8 11" xfId="5128" xr:uid="{00000000-0005-0000-0000-0000BC130000}"/>
    <cellStyle name="Normal 8 12" xfId="5129" xr:uid="{00000000-0005-0000-0000-0000BD130000}"/>
    <cellStyle name="Normal 8 13" xfId="5130" xr:uid="{00000000-0005-0000-0000-0000BE130000}"/>
    <cellStyle name="Normal 8 14" xfId="5131" xr:uid="{00000000-0005-0000-0000-0000BF130000}"/>
    <cellStyle name="Normal 8 15" xfId="5132" xr:uid="{00000000-0005-0000-0000-0000C0130000}"/>
    <cellStyle name="Normal 8 16" xfId="5133" xr:uid="{00000000-0005-0000-0000-0000C1130000}"/>
    <cellStyle name="Normal 8 17" xfId="5134" xr:uid="{00000000-0005-0000-0000-0000C2130000}"/>
    <cellStyle name="Normal 8 18" xfId="5135" xr:uid="{00000000-0005-0000-0000-0000C3130000}"/>
    <cellStyle name="Normal 8 19" xfId="5136" xr:uid="{00000000-0005-0000-0000-0000C4130000}"/>
    <cellStyle name="Normal 8 2" xfId="5137" xr:uid="{00000000-0005-0000-0000-0000C5130000}"/>
    <cellStyle name="Normal 8 2 2" xfId="5138" xr:uid="{00000000-0005-0000-0000-0000C6130000}"/>
    <cellStyle name="Normal 8 2 2 2" xfId="5139" xr:uid="{00000000-0005-0000-0000-0000C7130000}"/>
    <cellStyle name="Normal 8 2 2 3" xfId="5140" xr:uid="{00000000-0005-0000-0000-0000C8130000}"/>
    <cellStyle name="Normal 8 2 3" xfId="5141" xr:uid="{00000000-0005-0000-0000-0000C9130000}"/>
    <cellStyle name="Normal 8 20" xfId="5142" xr:uid="{00000000-0005-0000-0000-0000CA130000}"/>
    <cellStyle name="Normal 8 21" xfId="5143" xr:uid="{00000000-0005-0000-0000-0000CB130000}"/>
    <cellStyle name="Normal 8 22" xfId="5144" xr:uid="{00000000-0005-0000-0000-0000CC130000}"/>
    <cellStyle name="Normal 8 3" xfId="5145" xr:uid="{00000000-0005-0000-0000-0000CD130000}"/>
    <cellStyle name="Normal 8 4" xfId="5146" xr:uid="{00000000-0005-0000-0000-0000CE130000}"/>
    <cellStyle name="Normal 8 5" xfId="5147" xr:uid="{00000000-0005-0000-0000-0000CF130000}"/>
    <cellStyle name="Normal 8 6" xfId="5148" xr:uid="{00000000-0005-0000-0000-0000D0130000}"/>
    <cellStyle name="Normal 8 7" xfId="5149" xr:uid="{00000000-0005-0000-0000-0000D1130000}"/>
    <cellStyle name="Normal 8 8" xfId="5150" xr:uid="{00000000-0005-0000-0000-0000D2130000}"/>
    <cellStyle name="Normal 8 9" xfId="5151" xr:uid="{00000000-0005-0000-0000-0000D3130000}"/>
    <cellStyle name="Normal 84" xfId="5152" xr:uid="{00000000-0005-0000-0000-0000D4130000}"/>
    <cellStyle name="Normal 85" xfId="5153" xr:uid="{00000000-0005-0000-0000-0000D5130000}"/>
    <cellStyle name="Normal 86" xfId="5154" xr:uid="{00000000-0005-0000-0000-0000D6130000}"/>
    <cellStyle name="Normal 87" xfId="5155" xr:uid="{00000000-0005-0000-0000-0000D7130000}"/>
    <cellStyle name="Normal 9" xfId="117" xr:uid="{00000000-0005-0000-0000-0000D8130000}"/>
    <cellStyle name="Normal 9 10" xfId="5156" xr:uid="{00000000-0005-0000-0000-0000D9130000}"/>
    <cellStyle name="Normal 9 11" xfId="5157" xr:uid="{00000000-0005-0000-0000-0000DA130000}"/>
    <cellStyle name="Normal 9 12" xfId="5158" xr:uid="{00000000-0005-0000-0000-0000DB130000}"/>
    <cellStyle name="Normal 9 13" xfId="5159" xr:uid="{00000000-0005-0000-0000-0000DC130000}"/>
    <cellStyle name="Normal 9 14" xfId="5160" xr:uid="{00000000-0005-0000-0000-0000DD130000}"/>
    <cellStyle name="Normal 9 15" xfId="5161" xr:uid="{00000000-0005-0000-0000-0000DE130000}"/>
    <cellStyle name="Normal 9 16" xfId="5162" xr:uid="{00000000-0005-0000-0000-0000DF130000}"/>
    <cellStyle name="Normal 9 17" xfId="5163" xr:uid="{00000000-0005-0000-0000-0000E0130000}"/>
    <cellStyle name="Normal 9 18" xfId="5164" xr:uid="{00000000-0005-0000-0000-0000E1130000}"/>
    <cellStyle name="Normal 9 19" xfId="5165" xr:uid="{00000000-0005-0000-0000-0000E2130000}"/>
    <cellStyle name="Normal 9 2" xfId="5166" xr:uid="{00000000-0005-0000-0000-0000E3130000}"/>
    <cellStyle name="Normal 9 2 2" xfId="5167" xr:uid="{00000000-0005-0000-0000-0000E4130000}"/>
    <cellStyle name="Normal 9 2 2 2" xfId="5168" xr:uid="{00000000-0005-0000-0000-0000E5130000}"/>
    <cellStyle name="Normal 9 2 2 3" xfId="5169" xr:uid="{00000000-0005-0000-0000-0000E6130000}"/>
    <cellStyle name="Normal 9 2 3" xfId="5170" xr:uid="{00000000-0005-0000-0000-0000E7130000}"/>
    <cellStyle name="Normal 9 20" xfId="5171" xr:uid="{00000000-0005-0000-0000-0000E8130000}"/>
    <cellStyle name="Normal 9 21" xfId="5172" xr:uid="{00000000-0005-0000-0000-0000E9130000}"/>
    <cellStyle name="Normal 9 22" xfId="5173" xr:uid="{00000000-0005-0000-0000-0000EA130000}"/>
    <cellStyle name="Normal 9 23" xfId="5174" xr:uid="{00000000-0005-0000-0000-0000EB130000}"/>
    <cellStyle name="Normal 9 3" xfId="5175" xr:uid="{00000000-0005-0000-0000-0000EC130000}"/>
    <cellStyle name="Normal 9 4" xfId="5176" xr:uid="{00000000-0005-0000-0000-0000ED130000}"/>
    <cellStyle name="Normal 9 5" xfId="5177" xr:uid="{00000000-0005-0000-0000-0000EE130000}"/>
    <cellStyle name="Normal 9 6" xfId="5178" xr:uid="{00000000-0005-0000-0000-0000EF130000}"/>
    <cellStyle name="Normal 9 7" xfId="5179" xr:uid="{00000000-0005-0000-0000-0000F0130000}"/>
    <cellStyle name="Normal 9 8" xfId="5180" xr:uid="{00000000-0005-0000-0000-0000F1130000}"/>
    <cellStyle name="Normal 9 9" xfId="5181" xr:uid="{00000000-0005-0000-0000-0000F2130000}"/>
    <cellStyle name="Normal GHG Numbers (0.00)" xfId="118" xr:uid="{00000000-0005-0000-0000-0000F3130000}"/>
    <cellStyle name="Normal GHG Textfiels Bold" xfId="119" xr:uid="{00000000-0005-0000-0000-0000F4130000}"/>
    <cellStyle name="Normal GHG whole table" xfId="120" xr:uid="{00000000-0005-0000-0000-0000F5130000}"/>
    <cellStyle name="Normal GHG-Shade" xfId="121" xr:uid="{00000000-0005-0000-0000-0000F6130000}"/>
    <cellStyle name="Notas" xfId="5182" xr:uid="{00000000-0005-0000-0000-0000F7130000}"/>
    <cellStyle name="Notas 10" xfId="5183" xr:uid="{00000000-0005-0000-0000-0000F8130000}"/>
    <cellStyle name="Notas 10 2" xfId="5184" xr:uid="{00000000-0005-0000-0000-0000F9130000}"/>
    <cellStyle name="Notas 10 2 2" xfId="5185" xr:uid="{00000000-0005-0000-0000-0000FA130000}"/>
    <cellStyle name="Notas 10 2 3" xfId="5186" xr:uid="{00000000-0005-0000-0000-0000FB130000}"/>
    <cellStyle name="Notas 10 3" xfId="5187" xr:uid="{00000000-0005-0000-0000-0000FC130000}"/>
    <cellStyle name="Notas 10 3 2" xfId="5188" xr:uid="{00000000-0005-0000-0000-0000FD130000}"/>
    <cellStyle name="Notas 10 3 3" xfId="5189" xr:uid="{00000000-0005-0000-0000-0000FE130000}"/>
    <cellStyle name="Notas 10 4" xfId="5190" xr:uid="{00000000-0005-0000-0000-0000FF130000}"/>
    <cellStyle name="Notas 10 5" xfId="5191" xr:uid="{00000000-0005-0000-0000-000000140000}"/>
    <cellStyle name="Notas 11" xfId="5192" xr:uid="{00000000-0005-0000-0000-000001140000}"/>
    <cellStyle name="Notas 11 2" xfId="5193" xr:uid="{00000000-0005-0000-0000-000002140000}"/>
    <cellStyle name="Notas 11 3" xfId="5194" xr:uid="{00000000-0005-0000-0000-000003140000}"/>
    <cellStyle name="Notas 12" xfId="5195" xr:uid="{00000000-0005-0000-0000-000004140000}"/>
    <cellStyle name="Notas 13" xfId="5196" xr:uid="{00000000-0005-0000-0000-000005140000}"/>
    <cellStyle name="Notas 14" xfId="5197" xr:uid="{00000000-0005-0000-0000-000006140000}"/>
    <cellStyle name="Notas 15" xfId="5198" xr:uid="{00000000-0005-0000-0000-000007140000}"/>
    <cellStyle name="Notas 16" xfId="5199" xr:uid="{00000000-0005-0000-0000-000008140000}"/>
    <cellStyle name="Notas 17" xfId="5200" xr:uid="{00000000-0005-0000-0000-000009140000}"/>
    <cellStyle name="Notas 18" xfId="5201" xr:uid="{00000000-0005-0000-0000-00000A140000}"/>
    <cellStyle name="Notas 19" xfId="5202" xr:uid="{00000000-0005-0000-0000-00000B140000}"/>
    <cellStyle name="Notas 2" xfId="5203" xr:uid="{00000000-0005-0000-0000-00000C140000}"/>
    <cellStyle name="Notas 2 10" xfId="5204" xr:uid="{00000000-0005-0000-0000-00000D140000}"/>
    <cellStyle name="Notas 2 11" xfId="5205" xr:uid="{00000000-0005-0000-0000-00000E140000}"/>
    <cellStyle name="Notas 2 12" xfId="5206" xr:uid="{00000000-0005-0000-0000-00000F140000}"/>
    <cellStyle name="Notas 2 13" xfId="5207" xr:uid="{00000000-0005-0000-0000-000010140000}"/>
    <cellStyle name="Notas 2 14" xfId="5208" xr:uid="{00000000-0005-0000-0000-000011140000}"/>
    <cellStyle name="Notas 2 15" xfId="5209" xr:uid="{00000000-0005-0000-0000-000012140000}"/>
    <cellStyle name="Notas 2 16" xfId="5210" xr:uid="{00000000-0005-0000-0000-000013140000}"/>
    <cellStyle name="Notas 2 2" xfId="5211" xr:uid="{00000000-0005-0000-0000-000014140000}"/>
    <cellStyle name="Notas 2 2 10" xfId="5212" xr:uid="{00000000-0005-0000-0000-000015140000}"/>
    <cellStyle name="Notas 2 2 11" xfId="5213" xr:uid="{00000000-0005-0000-0000-000016140000}"/>
    <cellStyle name="Notas 2 2 12" xfId="5214" xr:uid="{00000000-0005-0000-0000-000017140000}"/>
    <cellStyle name="Notas 2 2 13" xfId="5215" xr:uid="{00000000-0005-0000-0000-000018140000}"/>
    <cellStyle name="Notas 2 2 14" xfId="5216" xr:uid="{00000000-0005-0000-0000-000019140000}"/>
    <cellStyle name="Notas 2 2 15" xfId="5217" xr:uid="{00000000-0005-0000-0000-00001A140000}"/>
    <cellStyle name="Notas 2 2 16" xfId="5218" xr:uid="{00000000-0005-0000-0000-00001B140000}"/>
    <cellStyle name="Notas 2 2 2" xfId="5219" xr:uid="{00000000-0005-0000-0000-00001C140000}"/>
    <cellStyle name="Notas 2 2 2 2" xfId="5220" xr:uid="{00000000-0005-0000-0000-00001D140000}"/>
    <cellStyle name="Notas 2 2 2 3" xfId="5221" xr:uid="{00000000-0005-0000-0000-00001E140000}"/>
    <cellStyle name="Notas 2 2 3" xfId="5222" xr:uid="{00000000-0005-0000-0000-00001F140000}"/>
    <cellStyle name="Notas 2 2 3 2" xfId="5223" xr:uid="{00000000-0005-0000-0000-000020140000}"/>
    <cellStyle name="Notas 2 2 3 3" xfId="5224" xr:uid="{00000000-0005-0000-0000-000021140000}"/>
    <cellStyle name="Notas 2 2 4" xfId="5225" xr:uid="{00000000-0005-0000-0000-000022140000}"/>
    <cellStyle name="Notas 2 2 5" xfId="5226" xr:uid="{00000000-0005-0000-0000-000023140000}"/>
    <cellStyle name="Notas 2 2 6" xfId="5227" xr:uid="{00000000-0005-0000-0000-000024140000}"/>
    <cellStyle name="Notas 2 2 7" xfId="5228" xr:uid="{00000000-0005-0000-0000-000025140000}"/>
    <cellStyle name="Notas 2 2 8" xfId="5229" xr:uid="{00000000-0005-0000-0000-000026140000}"/>
    <cellStyle name="Notas 2 2 9" xfId="5230" xr:uid="{00000000-0005-0000-0000-000027140000}"/>
    <cellStyle name="Notas 2 3" xfId="5231" xr:uid="{00000000-0005-0000-0000-000028140000}"/>
    <cellStyle name="Notas 2 3 2" xfId="5232" xr:uid="{00000000-0005-0000-0000-000029140000}"/>
    <cellStyle name="Notas 2 3 3" xfId="5233" xr:uid="{00000000-0005-0000-0000-00002A140000}"/>
    <cellStyle name="Notas 2 4" xfId="5234" xr:uid="{00000000-0005-0000-0000-00002B140000}"/>
    <cellStyle name="Notas 2 5" xfId="5235" xr:uid="{00000000-0005-0000-0000-00002C140000}"/>
    <cellStyle name="Notas 2 6" xfId="5236" xr:uid="{00000000-0005-0000-0000-00002D140000}"/>
    <cellStyle name="Notas 2 7" xfId="5237" xr:uid="{00000000-0005-0000-0000-00002E140000}"/>
    <cellStyle name="Notas 2 8" xfId="5238" xr:uid="{00000000-0005-0000-0000-00002F140000}"/>
    <cellStyle name="Notas 2 9" xfId="5239" xr:uid="{00000000-0005-0000-0000-000030140000}"/>
    <cellStyle name="Notas 20" xfId="5240" xr:uid="{00000000-0005-0000-0000-000031140000}"/>
    <cellStyle name="Notas 21" xfId="5241" xr:uid="{00000000-0005-0000-0000-000032140000}"/>
    <cellStyle name="Notas 22" xfId="5242" xr:uid="{00000000-0005-0000-0000-000033140000}"/>
    <cellStyle name="Notas 23" xfId="5243" xr:uid="{00000000-0005-0000-0000-000034140000}"/>
    <cellStyle name="Notas 24" xfId="5244" xr:uid="{00000000-0005-0000-0000-000035140000}"/>
    <cellStyle name="Notas 3" xfId="5245" xr:uid="{00000000-0005-0000-0000-000036140000}"/>
    <cellStyle name="Notas 3 10" xfId="5246" xr:uid="{00000000-0005-0000-0000-000037140000}"/>
    <cellStyle name="Notas 3 11" xfId="5247" xr:uid="{00000000-0005-0000-0000-000038140000}"/>
    <cellStyle name="Notas 3 12" xfId="5248" xr:uid="{00000000-0005-0000-0000-000039140000}"/>
    <cellStyle name="Notas 3 13" xfId="5249" xr:uid="{00000000-0005-0000-0000-00003A140000}"/>
    <cellStyle name="Notas 3 14" xfId="5250" xr:uid="{00000000-0005-0000-0000-00003B140000}"/>
    <cellStyle name="Notas 3 15" xfId="5251" xr:uid="{00000000-0005-0000-0000-00003C140000}"/>
    <cellStyle name="Notas 3 16" xfId="5252" xr:uid="{00000000-0005-0000-0000-00003D140000}"/>
    <cellStyle name="Notas 3 2" xfId="5253" xr:uid="{00000000-0005-0000-0000-00003E140000}"/>
    <cellStyle name="Notas 3 2 10" xfId="5254" xr:uid="{00000000-0005-0000-0000-00003F140000}"/>
    <cellStyle name="Notas 3 2 11" xfId="5255" xr:uid="{00000000-0005-0000-0000-000040140000}"/>
    <cellStyle name="Notas 3 2 12" xfId="5256" xr:uid="{00000000-0005-0000-0000-000041140000}"/>
    <cellStyle name="Notas 3 2 13" xfId="5257" xr:uid="{00000000-0005-0000-0000-000042140000}"/>
    <cellStyle name="Notas 3 2 14" xfId="5258" xr:uid="{00000000-0005-0000-0000-000043140000}"/>
    <cellStyle name="Notas 3 2 15" xfId="5259" xr:uid="{00000000-0005-0000-0000-000044140000}"/>
    <cellStyle name="Notas 3 2 16" xfId="5260" xr:uid="{00000000-0005-0000-0000-000045140000}"/>
    <cellStyle name="Notas 3 2 2" xfId="5261" xr:uid="{00000000-0005-0000-0000-000046140000}"/>
    <cellStyle name="Notas 3 2 2 2" xfId="5262" xr:uid="{00000000-0005-0000-0000-000047140000}"/>
    <cellStyle name="Notas 3 2 2 3" xfId="5263" xr:uid="{00000000-0005-0000-0000-000048140000}"/>
    <cellStyle name="Notas 3 2 3" xfId="5264" xr:uid="{00000000-0005-0000-0000-000049140000}"/>
    <cellStyle name="Notas 3 2 3 2" xfId="5265" xr:uid="{00000000-0005-0000-0000-00004A140000}"/>
    <cellStyle name="Notas 3 2 3 3" xfId="5266" xr:uid="{00000000-0005-0000-0000-00004B140000}"/>
    <cellStyle name="Notas 3 2 4" xfId="5267" xr:uid="{00000000-0005-0000-0000-00004C140000}"/>
    <cellStyle name="Notas 3 2 5" xfId="5268" xr:uid="{00000000-0005-0000-0000-00004D140000}"/>
    <cellStyle name="Notas 3 2 6" xfId="5269" xr:uid="{00000000-0005-0000-0000-00004E140000}"/>
    <cellStyle name="Notas 3 2 7" xfId="5270" xr:uid="{00000000-0005-0000-0000-00004F140000}"/>
    <cellStyle name="Notas 3 2 8" xfId="5271" xr:uid="{00000000-0005-0000-0000-000050140000}"/>
    <cellStyle name="Notas 3 2 9" xfId="5272" xr:uid="{00000000-0005-0000-0000-000051140000}"/>
    <cellStyle name="Notas 3 3" xfId="5273" xr:uid="{00000000-0005-0000-0000-000052140000}"/>
    <cellStyle name="Notas 3 3 2" xfId="5274" xr:uid="{00000000-0005-0000-0000-000053140000}"/>
    <cellStyle name="Notas 3 3 3" xfId="5275" xr:uid="{00000000-0005-0000-0000-000054140000}"/>
    <cellStyle name="Notas 3 4" xfId="5276" xr:uid="{00000000-0005-0000-0000-000055140000}"/>
    <cellStyle name="Notas 3 5" xfId="5277" xr:uid="{00000000-0005-0000-0000-000056140000}"/>
    <cellStyle name="Notas 3 6" xfId="5278" xr:uid="{00000000-0005-0000-0000-000057140000}"/>
    <cellStyle name="Notas 3 7" xfId="5279" xr:uid="{00000000-0005-0000-0000-000058140000}"/>
    <cellStyle name="Notas 3 8" xfId="5280" xr:uid="{00000000-0005-0000-0000-000059140000}"/>
    <cellStyle name="Notas 3 9" xfId="5281" xr:uid="{00000000-0005-0000-0000-00005A140000}"/>
    <cellStyle name="Notas 4" xfId="5282" xr:uid="{00000000-0005-0000-0000-00005B140000}"/>
    <cellStyle name="Notas 4 10" xfId="5283" xr:uid="{00000000-0005-0000-0000-00005C140000}"/>
    <cellStyle name="Notas 4 11" xfId="5284" xr:uid="{00000000-0005-0000-0000-00005D140000}"/>
    <cellStyle name="Notas 4 12" xfId="5285" xr:uid="{00000000-0005-0000-0000-00005E140000}"/>
    <cellStyle name="Notas 4 13" xfId="5286" xr:uid="{00000000-0005-0000-0000-00005F140000}"/>
    <cellStyle name="Notas 4 14" xfId="5287" xr:uid="{00000000-0005-0000-0000-000060140000}"/>
    <cellStyle name="Notas 4 15" xfId="5288" xr:uid="{00000000-0005-0000-0000-000061140000}"/>
    <cellStyle name="Notas 4 16" xfId="5289" xr:uid="{00000000-0005-0000-0000-000062140000}"/>
    <cellStyle name="Notas 4 17" xfId="5290" xr:uid="{00000000-0005-0000-0000-000063140000}"/>
    <cellStyle name="Notas 4 2" xfId="5291" xr:uid="{00000000-0005-0000-0000-000064140000}"/>
    <cellStyle name="Notas 4 2 10" xfId="5292" xr:uid="{00000000-0005-0000-0000-000065140000}"/>
    <cellStyle name="Notas 4 2 11" xfId="5293" xr:uid="{00000000-0005-0000-0000-000066140000}"/>
    <cellStyle name="Notas 4 2 12" xfId="5294" xr:uid="{00000000-0005-0000-0000-000067140000}"/>
    <cellStyle name="Notas 4 2 13" xfId="5295" xr:uid="{00000000-0005-0000-0000-000068140000}"/>
    <cellStyle name="Notas 4 2 14" xfId="5296" xr:uid="{00000000-0005-0000-0000-000069140000}"/>
    <cellStyle name="Notas 4 2 2" xfId="5297" xr:uid="{00000000-0005-0000-0000-00006A140000}"/>
    <cellStyle name="Notas 4 2 3" xfId="5298" xr:uid="{00000000-0005-0000-0000-00006B140000}"/>
    <cellStyle name="Notas 4 2 4" xfId="5299" xr:uid="{00000000-0005-0000-0000-00006C140000}"/>
    <cellStyle name="Notas 4 2 5" xfId="5300" xr:uid="{00000000-0005-0000-0000-00006D140000}"/>
    <cellStyle name="Notas 4 2 6" xfId="5301" xr:uid="{00000000-0005-0000-0000-00006E140000}"/>
    <cellStyle name="Notas 4 2 7" xfId="5302" xr:uid="{00000000-0005-0000-0000-00006F140000}"/>
    <cellStyle name="Notas 4 2 8" xfId="5303" xr:uid="{00000000-0005-0000-0000-000070140000}"/>
    <cellStyle name="Notas 4 2 9" xfId="5304" xr:uid="{00000000-0005-0000-0000-000071140000}"/>
    <cellStyle name="Notas 4 3" xfId="5305" xr:uid="{00000000-0005-0000-0000-000072140000}"/>
    <cellStyle name="Notas 4 3 2" xfId="5306" xr:uid="{00000000-0005-0000-0000-000073140000}"/>
    <cellStyle name="Notas 4 3 3" xfId="5307" xr:uid="{00000000-0005-0000-0000-000074140000}"/>
    <cellStyle name="Notas 4 4" xfId="5308" xr:uid="{00000000-0005-0000-0000-000075140000}"/>
    <cellStyle name="Notas 4 5" xfId="5309" xr:uid="{00000000-0005-0000-0000-000076140000}"/>
    <cellStyle name="Notas 4 6" xfId="5310" xr:uid="{00000000-0005-0000-0000-000077140000}"/>
    <cellStyle name="Notas 4 7" xfId="5311" xr:uid="{00000000-0005-0000-0000-000078140000}"/>
    <cellStyle name="Notas 4 8" xfId="5312" xr:uid="{00000000-0005-0000-0000-000079140000}"/>
    <cellStyle name="Notas 4 9" xfId="5313" xr:uid="{00000000-0005-0000-0000-00007A140000}"/>
    <cellStyle name="Notas 5" xfId="5314" xr:uid="{00000000-0005-0000-0000-00007B140000}"/>
    <cellStyle name="Notas 5 10" xfId="5315" xr:uid="{00000000-0005-0000-0000-00007C140000}"/>
    <cellStyle name="Notas 5 11" xfId="5316" xr:uid="{00000000-0005-0000-0000-00007D140000}"/>
    <cellStyle name="Notas 5 12" xfId="5317" xr:uid="{00000000-0005-0000-0000-00007E140000}"/>
    <cellStyle name="Notas 5 13" xfId="5318" xr:uid="{00000000-0005-0000-0000-00007F140000}"/>
    <cellStyle name="Notas 5 14" xfId="5319" xr:uid="{00000000-0005-0000-0000-000080140000}"/>
    <cellStyle name="Notas 5 15" xfId="5320" xr:uid="{00000000-0005-0000-0000-000081140000}"/>
    <cellStyle name="Notas 5 16" xfId="5321" xr:uid="{00000000-0005-0000-0000-000082140000}"/>
    <cellStyle name="Notas 5 17" xfId="5322" xr:uid="{00000000-0005-0000-0000-000083140000}"/>
    <cellStyle name="Notas 5 2" xfId="5323" xr:uid="{00000000-0005-0000-0000-000084140000}"/>
    <cellStyle name="Notas 5 2 10" xfId="5324" xr:uid="{00000000-0005-0000-0000-000085140000}"/>
    <cellStyle name="Notas 5 2 11" xfId="5325" xr:uid="{00000000-0005-0000-0000-000086140000}"/>
    <cellStyle name="Notas 5 2 12" xfId="5326" xr:uid="{00000000-0005-0000-0000-000087140000}"/>
    <cellStyle name="Notas 5 2 13" xfId="5327" xr:uid="{00000000-0005-0000-0000-000088140000}"/>
    <cellStyle name="Notas 5 2 14" xfId="5328" xr:uid="{00000000-0005-0000-0000-000089140000}"/>
    <cellStyle name="Notas 5 2 2" xfId="5329" xr:uid="{00000000-0005-0000-0000-00008A140000}"/>
    <cellStyle name="Notas 5 2 3" xfId="5330" xr:uid="{00000000-0005-0000-0000-00008B140000}"/>
    <cellStyle name="Notas 5 2 4" xfId="5331" xr:uid="{00000000-0005-0000-0000-00008C140000}"/>
    <cellStyle name="Notas 5 2 5" xfId="5332" xr:uid="{00000000-0005-0000-0000-00008D140000}"/>
    <cellStyle name="Notas 5 2 6" xfId="5333" xr:uid="{00000000-0005-0000-0000-00008E140000}"/>
    <cellStyle name="Notas 5 2 7" xfId="5334" xr:uid="{00000000-0005-0000-0000-00008F140000}"/>
    <cellStyle name="Notas 5 2 8" xfId="5335" xr:uid="{00000000-0005-0000-0000-000090140000}"/>
    <cellStyle name="Notas 5 2 9" xfId="5336" xr:uid="{00000000-0005-0000-0000-000091140000}"/>
    <cellStyle name="Notas 5 3" xfId="5337" xr:uid="{00000000-0005-0000-0000-000092140000}"/>
    <cellStyle name="Notas 5 3 2" xfId="5338" xr:uid="{00000000-0005-0000-0000-000093140000}"/>
    <cellStyle name="Notas 5 3 3" xfId="5339" xr:uid="{00000000-0005-0000-0000-000094140000}"/>
    <cellStyle name="Notas 5 4" xfId="5340" xr:uid="{00000000-0005-0000-0000-000095140000}"/>
    <cellStyle name="Notas 5 5" xfId="5341" xr:uid="{00000000-0005-0000-0000-000096140000}"/>
    <cellStyle name="Notas 5 6" xfId="5342" xr:uid="{00000000-0005-0000-0000-000097140000}"/>
    <cellStyle name="Notas 5 7" xfId="5343" xr:uid="{00000000-0005-0000-0000-000098140000}"/>
    <cellStyle name="Notas 5 8" xfId="5344" xr:uid="{00000000-0005-0000-0000-000099140000}"/>
    <cellStyle name="Notas 5 9" xfId="5345" xr:uid="{00000000-0005-0000-0000-00009A140000}"/>
    <cellStyle name="Notas 6" xfId="5346" xr:uid="{00000000-0005-0000-0000-00009B140000}"/>
    <cellStyle name="Notas 6 10" xfId="5347" xr:uid="{00000000-0005-0000-0000-00009C140000}"/>
    <cellStyle name="Notas 6 11" xfId="5348" xr:uid="{00000000-0005-0000-0000-00009D140000}"/>
    <cellStyle name="Notas 6 12" xfId="5349" xr:uid="{00000000-0005-0000-0000-00009E140000}"/>
    <cellStyle name="Notas 6 13" xfId="5350" xr:uid="{00000000-0005-0000-0000-00009F140000}"/>
    <cellStyle name="Notas 6 14" xfId="5351" xr:uid="{00000000-0005-0000-0000-0000A0140000}"/>
    <cellStyle name="Notas 6 15" xfId="5352" xr:uid="{00000000-0005-0000-0000-0000A1140000}"/>
    <cellStyle name="Notas 6 16" xfId="5353" xr:uid="{00000000-0005-0000-0000-0000A2140000}"/>
    <cellStyle name="Notas 6 17" xfId="5354" xr:uid="{00000000-0005-0000-0000-0000A3140000}"/>
    <cellStyle name="Notas 6 2" xfId="5355" xr:uid="{00000000-0005-0000-0000-0000A4140000}"/>
    <cellStyle name="Notas 6 2 10" xfId="5356" xr:uid="{00000000-0005-0000-0000-0000A5140000}"/>
    <cellStyle name="Notas 6 2 11" xfId="5357" xr:uid="{00000000-0005-0000-0000-0000A6140000}"/>
    <cellStyle name="Notas 6 2 12" xfId="5358" xr:uid="{00000000-0005-0000-0000-0000A7140000}"/>
    <cellStyle name="Notas 6 2 13" xfId="5359" xr:uid="{00000000-0005-0000-0000-0000A8140000}"/>
    <cellStyle name="Notas 6 2 14" xfId="5360" xr:uid="{00000000-0005-0000-0000-0000A9140000}"/>
    <cellStyle name="Notas 6 2 2" xfId="5361" xr:uid="{00000000-0005-0000-0000-0000AA140000}"/>
    <cellStyle name="Notas 6 2 3" xfId="5362" xr:uid="{00000000-0005-0000-0000-0000AB140000}"/>
    <cellStyle name="Notas 6 2 4" xfId="5363" xr:uid="{00000000-0005-0000-0000-0000AC140000}"/>
    <cellStyle name="Notas 6 2 5" xfId="5364" xr:uid="{00000000-0005-0000-0000-0000AD140000}"/>
    <cellStyle name="Notas 6 2 6" xfId="5365" xr:uid="{00000000-0005-0000-0000-0000AE140000}"/>
    <cellStyle name="Notas 6 2 7" xfId="5366" xr:uid="{00000000-0005-0000-0000-0000AF140000}"/>
    <cellStyle name="Notas 6 2 8" xfId="5367" xr:uid="{00000000-0005-0000-0000-0000B0140000}"/>
    <cellStyle name="Notas 6 2 9" xfId="5368" xr:uid="{00000000-0005-0000-0000-0000B1140000}"/>
    <cellStyle name="Notas 6 3" xfId="5369" xr:uid="{00000000-0005-0000-0000-0000B2140000}"/>
    <cellStyle name="Notas 6 3 2" xfId="5370" xr:uid="{00000000-0005-0000-0000-0000B3140000}"/>
    <cellStyle name="Notas 6 3 3" xfId="5371" xr:uid="{00000000-0005-0000-0000-0000B4140000}"/>
    <cellStyle name="Notas 6 4" xfId="5372" xr:uid="{00000000-0005-0000-0000-0000B5140000}"/>
    <cellStyle name="Notas 6 5" xfId="5373" xr:uid="{00000000-0005-0000-0000-0000B6140000}"/>
    <cellStyle name="Notas 6 6" xfId="5374" xr:uid="{00000000-0005-0000-0000-0000B7140000}"/>
    <cellStyle name="Notas 6 7" xfId="5375" xr:uid="{00000000-0005-0000-0000-0000B8140000}"/>
    <cellStyle name="Notas 6 8" xfId="5376" xr:uid="{00000000-0005-0000-0000-0000B9140000}"/>
    <cellStyle name="Notas 6 9" xfId="5377" xr:uid="{00000000-0005-0000-0000-0000BA140000}"/>
    <cellStyle name="Notas 7" xfId="5378" xr:uid="{00000000-0005-0000-0000-0000BB140000}"/>
    <cellStyle name="Notas 7 10" xfId="5379" xr:uid="{00000000-0005-0000-0000-0000BC140000}"/>
    <cellStyle name="Notas 7 11" xfId="5380" xr:uid="{00000000-0005-0000-0000-0000BD140000}"/>
    <cellStyle name="Notas 7 12" xfId="5381" xr:uid="{00000000-0005-0000-0000-0000BE140000}"/>
    <cellStyle name="Notas 7 13" xfId="5382" xr:uid="{00000000-0005-0000-0000-0000BF140000}"/>
    <cellStyle name="Notas 7 14" xfId="5383" xr:uid="{00000000-0005-0000-0000-0000C0140000}"/>
    <cellStyle name="Notas 7 15" xfId="5384" xr:uid="{00000000-0005-0000-0000-0000C1140000}"/>
    <cellStyle name="Notas 7 16" xfId="5385" xr:uid="{00000000-0005-0000-0000-0000C2140000}"/>
    <cellStyle name="Notas 7 17" xfId="5386" xr:uid="{00000000-0005-0000-0000-0000C3140000}"/>
    <cellStyle name="Notas 7 2" xfId="5387" xr:uid="{00000000-0005-0000-0000-0000C4140000}"/>
    <cellStyle name="Notas 7 2 10" xfId="5388" xr:uid="{00000000-0005-0000-0000-0000C5140000}"/>
    <cellStyle name="Notas 7 2 11" xfId="5389" xr:uid="{00000000-0005-0000-0000-0000C6140000}"/>
    <cellStyle name="Notas 7 2 12" xfId="5390" xr:uid="{00000000-0005-0000-0000-0000C7140000}"/>
    <cellStyle name="Notas 7 2 13" xfId="5391" xr:uid="{00000000-0005-0000-0000-0000C8140000}"/>
    <cellStyle name="Notas 7 2 14" xfId="5392" xr:uid="{00000000-0005-0000-0000-0000C9140000}"/>
    <cellStyle name="Notas 7 2 2" xfId="5393" xr:uid="{00000000-0005-0000-0000-0000CA140000}"/>
    <cellStyle name="Notas 7 2 3" xfId="5394" xr:uid="{00000000-0005-0000-0000-0000CB140000}"/>
    <cellStyle name="Notas 7 2 4" xfId="5395" xr:uid="{00000000-0005-0000-0000-0000CC140000}"/>
    <cellStyle name="Notas 7 2 5" xfId="5396" xr:uid="{00000000-0005-0000-0000-0000CD140000}"/>
    <cellStyle name="Notas 7 2 6" xfId="5397" xr:uid="{00000000-0005-0000-0000-0000CE140000}"/>
    <cellStyle name="Notas 7 2 7" xfId="5398" xr:uid="{00000000-0005-0000-0000-0000CF140000}"/>
    <cellStyle name="Notas 7 2 8" xfId="5399" xr:uid="{00000000-0005-0000-0000-0000D0140000}"/>
    <cellStyle name="Notas 7 2 9" xfId="5400" xr:uid="{00000000-0005-0000-0000-0000D1140000}"/>
    <cellStyle name="Notas 7 3" xfId="5401" xr:uid="{00000000-0005-0000-0000-0000D2140000}"/>
    <cellStyle name="Notas 7 3 2" xfId="5402" xr:uid="{00000000-0005-0000-0000-0000D3140000}"/>
    <cellStyle name="Notas 7 3 3" xfId="5403" xr:uid="{00000000-0005-0000-0000-0000D4140000}"/>
    <cellStyle name="Notas 7 4" xfId="5404" xr:uid="{00000000-0005-0000-0000-0000D5140000}"/>
    <cellStyle name="Notas 7 5" xfId="5405" xr:uid="{00000000-0005-0000-0000-0000D6140000}"/>
    <cellStyle name="Notas 7 6" xfId="5406" xr:uid="{00000000-0005-0000-0000-0000D7140000}"/>
    <cellStyle name="Notas 7 7" xfId="5407" xr:uid="{00000000-0005-0000-0000-0000D8140000}"/>
    <cellStyle name="Notas 7 8" xfId="5408" xr:uid="{00000000-0005-0000-0000-0000D9140000}"/>
    <cellStyle name="Notas 7 9" xfId="5409" xr:uid="{00000000-0005-0000-0000-0000DA140000}"/>
    <cellStyle name="Notas 8" xfId="5410" xr:uid="{00000000-0005-0000-0000-0000DB140000}"/>
    <cellStyle name="Notas 8 10" xfId="5411" xr:uid="{00000000-0005-0000-0000-0000DC140000}"/>
    <cellStyle name="Notas 8 11" xfId="5412" xr:uid="{00000000-0005-0000-0000-0000DD140000}"/>
    <cellStyle name="Notas 8 12" xfId="5413" xr:uid="{00000000-0005-0000-0000-0000DE140000}"/>
    <cellStyle name="Notas 8 13" xfId="5414" xr:uid="{00000000-0005-0000-0000-0000DF140000}"/>
    <cellStyle name="Notas 8 14" xfId="5415" xr:uid="{00000000-0005-0000-0000-0000E0140000}"/>
    <cellStyle name="Notas 8 15" xfId="5416" xr:uid="{00000000-0005-0000-0000-0000E1140000}"/>
    <cellStyle name="Notas 8 16" xfId="5417" xr:uid="{00000000-0005-0000-0000-0000E2140000}"/>
    <cellStyle name="Notas 8 17" xfId="5418" xr:uid="{00000000-0005-0000-0000-0000E3140000}"/>
    <cellStyle name="Notas 8 2" xfId="5419" xr:uid="{00000000-0005-0000-0000-0000E4140000}"/>
    <cellStyle name="Notas 8 2 2" xfId="5420" xr:uid="{00000000-0005-0000-0000-0000E5140000}"/>
    <cellStyle name="Notas 8 2 3" xfId="5421" xr:uid="{00000000-0005-0000-0000-0000E6140000}"/>
    <cellStyle name="Notas 8 3" xfId="5422" xr:uid="{00000000-0005-0000-0000-0000E7140000}"/>
    <cellStyle name="Notas 8 3 2" xfId="5423" xr:uid="{00000000-0005-0000-0000-0000E8140000}"/>
    <cellStyle name="Notas 8 3 3" xfId="5424" xr:uid="{00000000-0005-0000-0000-0000E9140000}"/>
    <cellStyle name="Notas 8 4" xfId="5425" xr:uid="{00000000-0005-0000-0000-0000EA140000}"/>
    <cellStyle name="Notas 8 5" xfId="5426" xr:uid="{00000000-0005-0000-0000-0000EB140000}"/>
    <cellStyle name="Notas 8 6" xfId="5427" xr:uid="{00000000-0005-0000-0000-0000EC140000}"/>
    <cellStyle name="Notas 8 7" xfId="5428" xr:uid="{00000000-0005-0000-0000-0000ED140000}"/>
    <cellStyle name="Notas 8 8" xfId="5429" xr:uid="{00000000-0005-0000-0000-0000EE140000}"/>
    <cellStyle name="Notas 8 9" xfId="5430" xr:uid="{00000000-0005-0000-0000-0000EF140000}"/>
    <cellStyle name="Notas 9" xfId="5431" xr:uid="{00000000-0005-0000-0000-0000F0140000}"/>
    <cellStyle name="Notas 9 10" xfId="5432" xr:uid="{00000000-0005-0000-0000-0000F1140000}"/>
    <cellStyle name="Notas 9 11" xfId="5433" xr:uid="{00000000-0005-0000-0000-0000F2140000}"/>
    <cellStyle name="Notas 9 12" xfId="5434" xr:uid="{00000000-0005-0000-0000-0000F3140000}"/>
    <cellStyle name="Notas 9 13" xfId="5435" xr:uid="{00000000-0005-0000-0000-0000F4140000}"/>
    <cellStyle name="Notas 9 14" xfId="5436" xr:uid="{00000000-0005-0000-0000-0000F5140000}"/>
    <cellStyle name="Notas 9 15" xfId="5437" xr:uid="{00000000-0005-0000-0000-0000F6140000}"/>
    <cellStyle name="Notas 9 16" xfId="5438" xr:uid="{00000000-0005-0000-0000-0000F7140000}"/>
    <cellStyle name="Notas 9 2" xfId="5439" xr:uid="{00000000-0005-0000-0000-0000F8140000}"/>
    <cellStyle name="Notas 9 2 2" xfId="5440" xr:uid="{00000000-0005-0000-0000-0000F9140000}"/>
    <cellStyle name="Notas 9 2 3" xfId="5441" xr:uid="{00000000-0005-0000-0000-0000FA140000}"/>
    <cellStyle name="Notas 9 3" xfId="5442" xr:uid="{00000000-0005-0000-0000-0000FB140000}"/>
    <cellStyle name="Notas 9 3 2" xfId="5443" xr:uid="{00000000-0005-0000-0000-0000FC140000}"/>
    <cellStyle name="Notas 9 3 3" xfId="5444" xr:uid="{00000000-0005-0000-0000-0000FD140000}"/>
    <cellStyle name="Notas 9 4" xfId="5445" xr:uid="{00000000-0005-0000-0000-0000FE140000}"/>
    <cellStyle name="Notas 9 5" xfId="5446" xr:uid="{00000000-0005-0000-0000-0000FF140000}"/>
    <cellStyle name="Notas 9 6" xfId="5447" xr:uid="{00000000-0005-0000-0000-000000150000}"/>
    <cellStyle name="Notas 9 7" xfId="5448" xr:uid="{00000000-0005-0000-0000-000001150000}"/>
    <cellStyle name="Notas 9 8" xfId="5449" xr:uid="{00000000-0005-0000-0000-000002150000}"/>
    <cellStyle name="Notas 9 9" xfId="5450" xr:uid="{00000000-0005-0000-0000-000003150000}"/>
    <cellStyle name="Note 2" xfId="122" xr:uid="{00000000-0005-0000-0000-000004150000}"/>
    <cellStyle name="Note 2 10" xfId="5451" xr:uid="{00000000-0005-0000-0000-000005150000}"/>
    <cellStyle name="Note 2 10 2" xfId="5452" xr:uid="{00000000-0005-0000-0000-000006150000}"/>
    <cellStyle name="Note 2 10 2 2" xfId="5453" xr:uid="{00000000-0005-0000-0000-000007150000}"/>
    <cellStyle name="Note 2 10 2 3" xfId="5454" xr:uid="{00000000-0005-0000-0000-000008150000}"/>
    <cellStyle name="Note 2 10 3" xfId="5455" xr:uid="{00000000-0005-0000-0000-000009150000}"/>
    <cellStyle name="Note 2 11" xfId="5456" xr:uid="{00000000-0005-0000-0000-00000A150000}"/>
    <cellStyle name="Note 2 11 2" xfId="5457" xr:uid="{00000000-0005-0000-0000-00000B150000}"/>
    <cellStyle name="Note 2 11 2 2" xfId="5458" xr:uid="{00000000-0005-0000-0000-00000C150000}"/>
    <cellStyle name="Note 2 11 2 3" xfId="5459" xr:uid="{00000000-0005-0000-0000-00000D150000}"/>
    <cellStyle name="Note 2 11 3" xfId="5460" xr:uid="{00000000-0005-0000-0000-00000E150000}"/>
    <cellStyle name="Note 2 12" xfId="5461" xr:uid="{00000000-0005-0000-0000-00000F150000}"/>
    <cellStyle name="Note 2 12 2" xfId="5462" xr:uid="{00000000-0005-0000-0000-000010150000}"/>
    <cellStyle name="Note 2 12 2 2" xfId="5463" xr:uid="{00000000-0005-0000-0000-000011150000}"/>
    <cellStyle name="Note 2 12 2 3" xfId="5464" xr:uid="{00000000-0005-0000-0000-000012150000}"/>
    <cellStyle name="Note 2 12 3" xfId="5465" xr:uid="{00000000-0005-0000-0000-000013150000}"/>
    <cellStyle name="Note 2 13" xfId="5466" xr:uid="{00000000-0005-0000-0000-000014150000}"/>
    <cellStyle name="Note 2 13 2" xfId="5467" xr:uid="{00000000-0005-0000-0000-000015150000}"/>
    <cellStyle name="Note 2 13 2 2" xfId="5468" xr:uid="{00000000-0005-0000-0000-000016150000}"/>
    <cellStyle name="Note 2 13 2 3" xfId="5469" xr:uid="{00000000-0005-0000-0000-000017150000}"/>
    <cellStyle name="Note 2 13 3" xfId="5470" xr:uid="{00000000-0005-0000-0000-000018150000}"/>
    <cellStyle name="Note 2 14" xfId="5471" xr:uid="{00000000-0005-0000-0000-000019150000}"/>
    <cellStyle name="Note 2 14 2" xfId="5472" xr:uid="{00000000-0005-0000-0000-00001A150000}"/>
    <cellStyle name="Note 2 14 2 2" xfId="5473" xr:uid="{00000000-0005-0000-0000-00001B150000}"/>
    <cellStyle name="Note 2 14 2 3" xfId="5474" xr:uid="{00000000-0005-0000-0000-00001C150000}"/>
    <cellStyle name="Note 2 14 3" xfId="5475" xr:uid="{00000000-0005-0000-0000-00001D150000}"/>
    <cellStyle name="Note 2 15" xfId="5476" xr:uid="{00000000-0005-0000-0000-00001E150000}"/>
    <cellStyle name="Note 2 15 2" xfId="5477" xr:uid="{00000000-0005-0000-0000-00001F150000}"/>
    <cellStyle name="Note 2 15 2 2" xfId="5478" xr:uid="{00000000-0005-0000-0000-000020150000}"/>
    <cellStyle name="Note 2 15 2 3" xfId="5479" xr:uid="{00000000-0005-0000-0000-000021150000}"/>
    <cellStyle name="Note 2 15 3" xfId="5480" xr:uid="{00000000-0005-0000-0000-000022150000}"/>
    <cellStyle name="Note 2 16" xfId="5481" xr:uid="{00000000-0005-0000-0000-000023150000}"/>
    <cellStyle name="Note 2 16 2" xfId="5482" xr:uid="{00000000-0005-0000-0000-000024150000}"/>
    <cellStyle name="Note 2 16 2 2" xfId="5483" xr:uid="{00000000-0005-0000-0000-000025150000}"/>
    <cellStyle name="Note 2 16 2 3" xfId="5484" xr:uid="{00000000-0005-0000-0000-000026150000}"/>
    <cellStyle name="Note 2 16 3" xfId="5485" xr:uid="{00000000-0005-0000-0000-000027150000}"/>
    <cellStyle name="Note 2 17" xfId="5486" xr:uid="{00000000-0005-0000-0000-000028150000}"/>
    <cellStyle name="Note 2 17 2" xfId="5487" xr:uid="{00000000-0005-0000-0000-000029150000}"/>
    <cellStyle name="Note 2 17 2 2" xfId="5488" xr:uid="{00000000-0005-0000-0000-00002A150000}"/>
    <cellStyle name="Note 2 17 2 3" xfId="5489" xr:uid="{00000000-0005-0000-0000-00002B150000}"/>
    <cellStyle name="Note 2 17 3" xfId="5490" xr:uid="{00000000-0005-0000-0000-00002C150000}"/>
    <cellStyle name="Note 2 18" xfId="5491" xr:uid="{00000000-0005-0000-0000-00002D150000}"/>
    <cellStyle name="Note 2 19" xfId="5492" xr:uid="{00000000-0005-0000-0000-00002E150000}"/>
    <cellStyle name="Note 2 2" xfId="5493" xr:uid="{00000000-0005-0000-0000-00002F150000}"/>
    <cellStyle name="Note 2 2 2" xfId="5494" xr:uid="{00000000-0005-0000-0000-000030150000}"/>
    <cellStyle name="Note 2 2 2 2" xfId="5495" xr:uid="{00000000-0005-0000-0000-000031150000}"/>
    <cellStyle name="Note 2 2 2 3" xfId="5496" xr:uid="{00000000-0005-0000-0000-000032150000}"/>
    <cellStyle name="Note 2 2 2 4" xfId="5497" xr:uid="{00000000-0005-0000-0000-000033150000}"/>
    <cellStyle name="Note 2 2 3" xfId="5498" xr:uid="{00000000-0005-0000-0000-000034150000}"/>
    <cellStyle name="Note 2 2 3 2" xfId="5499" xr:uid="{00000000-0005-0000-0000-000035150000}"/>
    <cellStyle name="Note 2 2 3 3" xfId="5500" xr:uid="{00000000-0005-0000-0000-000036150000}"/>
    <cellStyle name="Note 2 2 4" xfId="5501" xr:uid="{00000000-0005-0000-0000-000037150000}"/>
    <cellStyle name="Note 2 2 5" xfId="5502" xr:uid="{00000000-0005-0000-0000-000038150000}"/>
    <cellStyle name="Note 2 2 6" xfId="5503" xr:uid="{00000000-0005-0000-0000-000039150000}"/>
    <cellStyle name="Note 2 2 7" xfId="5504" xr:uid="{00000000-0005-0000-0000-00003A150000}"/>
    <cellStyle name="Note 2 20" xfId="5505" xr:uid="{00000000-0005-0000-0000-00003B150000}"/>
    <cellStyle name="Note 2 21" xfId="5506" xr:uid="{00000000-0005-0000-0000-00003C150000}"/>
    <cellStyle name="Note 2 3" xfId="5507" xr:uid="{00000000-0005-0000-0000-00003D150000}"/>
    <cellStyle name="Note 2 3 2" xfId="5508" xr:uid="{00000000-0005-0000-0000-00003E150000}"/>
    <cellStyle name="Note 2 3 3" xfId="5509" xr:uid="{00000000-0005-0000-0000-00003F150000}"/>
    <cellStyle name="Note 2 3 4" xfId="5510" xr:uid="{00000000-0005-0000-0000-000040150000}"/>
    <cellStyle name="Note 2 3 5" xfId="5511" xr:uid="{00000000-0005-0000-0000-000041150000}"/>
    <cellStyle name="Note 2 4" xfId="5512" xr:uid="{00000000-0005-0000-0000-000042150000}"/>
    <cellStyle name="Note 2 4 2" xfId="5513" xr:uid="{00000000-0005-0000-0000-000043150000}"/>
    <cellStyle name="Note 2 4 3" xfId="5514" xr:uid="{00000000-0005-0000-0000-000044150000}"/>
    <cellStyle name="Note 2 4 4" xfId="5515" xr:uid="{00000000-0005-0000-0000-000045150000}"/>
    <cellStyle name="Note 2 4 5" xfId="5516" xr:uid="{00000000-0005-0000-0000-000046150000}"/>
    <cellStyle name="Note 2 5" xfId="5517" xr:uid="{00000000-0005-0000-0000-000047150000}"/>
    <cellStyle name="Note 2 5 2" xfId="5518" xr:uid="{00000000-0005-0000-0000-000048150000}"/>
    <cellStyle name="Note 2 5 2 2" xfId="5519" xr:uid="{00000000-0005-0000-0000-000049150000}"/>
    <cellStyle name="Note 2 5 2 3" xfId="5520" xr:uid="{00000000-0005-0000-0000-00004A150000}"/>
    <cellStyle name="Note 2 5 3" xfId="5521" xr:uid="{00000000-0005-0000-0000-00004B150000}"/>
    <cellStyle name="Note 2 6" xfId="5522" xr:uid="{00000000-0005-0000-0000-00004C150000}"/>
    <cellStyle name="Note 2 6 2" xfId="5523" xr:uid="{00000000-0005-0000-0000-00004D150000}"/>
    <cellStyle name="Note 2 6 2 2" xfId="5524" xr:uid="{00000000-0005-0000-0000-00004E150000}"/>
    <cellStyle name="Note 2 6 2 3" xfId="5525" xr:uid="{00000000-0005-0000-0000-00004F150000}"/>
    <cellStyle name="Note 2 6 3" xfId="5526" xr:uid="{00000000-0005-0000-0000-000050150000}"/>
    <cellStyle name="Note 2 7" xfId="5527" xr:uid="{00000000-0005-0000-0000-000051150000}"/>
    <cellStyle name="Note 2 7 2" xfId="5528" xr:uid="{00000000-0005-0000-0000-000052150000}"/>
    <cellStyle name="Note 2 7 2 2" xfId="5529" xr:uid="{00000000-0005-0000-0000-000053150000}"/>
    <cellStyle name="Note 2 7 2 3" xfId="5530" xr:uid="{00000000-0005-0000-0000-000054150000}"/>
    <cellStyle name="Note 2 7 3" xfId="5531" xr:uid="{00000000-0005-0000-0000-000055150000}"/>
    <cellStyle name="Note 2 8" xfId="5532" xr:uid="{00000000-0005-0000-0000-000056150000}"/>
    <cellStyle name="Note 2 8 2" xfId="5533" xr:uid="{00000000-0005-0000-0000-000057150000}"/>
    <cellStyle name="Note 2 8 2 2" xfId="5534" xr:uid="{00000000-0005-0000-0000-000058150000}"/>
    <cellStyle name="Note 2 8 2 3" xfId="5535" xr:uid="{00000000-0005-0000-0000-000059150000}"/>
    <cellStyle name="Note 2 8 3" xfId="5536" xr:uid="{00000000-0005-0000-0000-00005A150000}"/>
    <cellStyle name="Note 2 9" xfId="5537" xr:uid="{00000000-0005-0000-0000-00005B150000}"/>
    <cellStyle name="Note 2 9 2" xfId="5538" xr:uid="{00000000-0005-0000-0000-00005C150000}"/>
    <cellStyle name="Note 2 9 2 2" xfId="5539" xr:uid="{00000000-0005-0000-0000-00005D150000}"/>
    <cellStyle name="Note 2 9 2 3" xfId="5540" xr:uid="{00000000-0005-0000-0000-00005E150000}"/>
    <cellStyle name="Note 2 9 3" xfId="5541" xr:uid="{00000000-0005-0000-0000-00005F150000}"/>
    <cellStyle name="Note 3" xfId="132" xr:uid="{00000000-0005-0000-0000-000060150000}"/>
    <cellStyle name="Note 3 2" xfId="5542" xr:uid="{00000000-0005-0000-0000-000061150000}"/>
    <cellStyle name="Note 3 2 2" xfId="5543" xr:uid="{00000000-0005-0000-0000-000062150000}"/>
    <cellStyle name="Note 3 2 3" xfId="5544" xr:uid="{00000000-0005-0000-0000-000063150000}"/>
    <cellStyle name="Note 3 3" xfId="5545" xr:uid="{00000000-0005-0000-0000-000064150000}"/>
    <cellStyle name="Note 3 3 2" xfId="5546" xr:uid="{00000000-0005-0000-0000-000065150000}"/>
    <cellStyle name="Note 3 3 3" xfId="5547" xr:uid="{00000000-0005-0000-0000-000066150000}"/>
    <cellStyle name="Note 3 4" xfId="5548" xr:uid="{00000000-0005-0000-0000-000067150000}"/>
    <cellStyle name="Note 3 5" xfId="5549" xr:uid="{00000000-0005-0000-0000-000068150000}"/>
    <cellStyle name="Note 3 6" xfId="5550" xr:uid="{00000000-0005-0000-0000-000069150000}"/>
    <cellStyle name="Note 4" xfId="5551" xr:uid="{00000000-0005-0000-0000-00006A150000}"/>
    <cellStyle name="Note 4 2" xfId="5552" xr:uid="{00000000-0005-0000-0000-00006B150000}"/>
    <cellStyle name="Note 4 2 2" xfId="5553" xr:uid="{00000000-0005-0000-0000-00006C150000}"/>
    <cellStyle name="Note 4 2 3" xfId="5554" xr:uid="{00000000-0005-0000-0000-00006D150000}"/>
    <cellStyle name="Note 4 3" xfId="5555" xr:uid="{00000000-0005-0000-0000-00006E150000}"/>
    <cellStyle name="Note 4 3 2" xfId="5556" xr:uid="{00000000-0005-0000-0000-00006F150000}"/>
    <cellStyle name="Note 4 3 3" xfId="5557" xr:uid="{00000000-0005-0000-0000-000070150000}"/>
    <cellStyle name="Note 4 4" xfId="5558" xr:uid="{00000000-0005-0000-0000-000071150000}"/>
    <cellStyle name="Note 4 5" xfId="5559" xr:uid="{00000000-0005-0000-0000-000072150000}"/>
    <cellStyle name="Note 5" xfId="5560" xr:uid="{00000000-0005-0000-0000-000073150000}"/>
    <cellStyle name="Note 5 2" xfId="5561" xr:uid="{00000000-0005-0000-0000-000074150000}"/>
    <cellStyle name="Note 5 3" xfId="5562" xr:uid="{00000000-0005-0000-0000-000075150000}"/>
    <cellStyle name="Note 6" xfId="5563" xr:uid="{00000000-0005-0000-0000-000076150000}"/>
    <cellStyle name="Note 7" xfId="5564" xr:uid="{00000000-0005-0000-0000-000077150000}"/>
    <cellStyle name="Note 8" xfId="5565" xr:uid="{00000000-0005-0000-0000-000078150000}"/>
    <cellStyle name="Number" xfId="5566" xr:uid="{00000000-0005-0000-0000-000079150000}"/>
    <cellStyle name="Output" xfId="18" builtinId="21" customBuiltin="1"/>
    <cellStyle name="Output 2" xfId="123" xr:uid="{00000000-0005-0000-0000-00007B150000}"/>
    <cellStyle name="Output 2 10" xfId="5567" xr:uid="{00000000-0005-0000-0000-00007C150000}"/>
    <cellStyle name="Output 2 11" xfId="5568" xr:uid="{00000000-0005-0000-0000-00007D150000}"/>
    <cellStyle name="Output 2 12" xfId="5569" xr:uid="{00000000-0005-0000-0000-00007E150000}"/>
    <cellStyle name="Output 2 13" xfId="5570" xr:uid="{00000000-0005-0000-0000-00007F150000}"/>
    <cellStyle name="Output 2 14" xfId="5571" xr:uid="{00000000-0005-0000-0000-000080150000}"/>
    <cellStyle name="Output 2 15" xfId="5572" xr:uid="{00000000-0005-0000-0000-000081150000}"/>
    <cellStyle name="Output 2 16" xfId="5573" xr:uid="{00000000-0005-0000-0000-000082150000}"/>
    <cellStyle name="Output 2 16 2" xfId="5574" xr:uid="{00000000-0005-0000-0000-000083150000}"/>
    <cellStyle name="Output 2 17" xfId="5575" xr:uid="{00000000-0005-0000-0000-000084150000}"/>
    <cellStyle name="Output 2 2" xfId="5576" xr:uid="{00000000-0005-0000-0000-000085150000}"/>
    <cellStyle name="Output 2 2 2" xfId="5577" xr:uid="{00000000-0005-0000-0000-000086150000}"/>
    <cellStyle name="Output 2 2 2 2" xfId="5578" xr:uid="{00000000-0005-0000-0000-000087150000}"/>
    <cellStyle name="Output 2 2 2 3" xfId="5579" xr:uid="{00000000-0005-0000-0000-000088150000}"/>
    <cellStyle name="Output 2 2 3" xfId="5580" xr:uid="{00000000-0005-0000-0000-000089150000}"/>
    <cellStyle name="Output 2 2 4" xfId="5581" xr:uid="{00000000-0005-0000-0000-00008A150000}"/>
    <cellStyle name="Output 2 3" xfId="5582" xr:uid="{00000000-0005-0000-0000-00008B150000}"/>
    <cellStyle name="Output 2 4" xfId="5583" xr:uid="{00000000-0005-0000-0000-00008C150000}"/>
    <cellStyle name="Output 2 5" xfId="5584" xr:uid="{00000000-0005-0000-0000-00008D150000}"/>
    <cellStyle name="Output 2 6" xfId="5585" xr:uid="{00000000-0005-0000-0000-00008E150000}"/>
    <cellStyle name="Output 2 7" xfId="5586" xr:uid="{00000000-0005-0000-0000-00008F150000}"/>
    <cellStyle name="Output 2 8" xfId="5587" xr:uid="{00000000-0005-0000-0000-000090150000}"/>
    <cellStyle name="Output 2 9" xfId="5588" xr:uid="{00000000-0005-0000-0000-000091150000}"/>
    <cellStyle name="Output 3" xfId="5589" xr:uid="{00000000-0005-0000-0000-000092150000}"/>
    <cellStyle name="Output 3 2" xfId="5590" xr:uid="{00000000-0005-0000-0000-000093150000}"/>
    <cellStyle name="Output 3 3" xfId="5591" xr:uid="{00000000-0005-0000-0000-000094150000}"/>
    <cellStyle name="Output 3 4" xfId="5592" xr:uid="{00000000-0005-0000-0000-000095150000}"/>
    <cellStyle name="Output 4" xfId="5593" xr:uid="{00000000-0005-0000-0000-000096150000}"/>
    <cellStyle name="Output 4 2" xfId="5594" xr:uid="{00000000-0005-0000-0000-000097150000}"/>
    <cellStyle name="Output 4 3" xfId="5595" xr:uid="{00000000-0005-0000-0000-000098150000}"/>
    <cellStyle name="Output 5" xfId="5596" xr:uid="{00000000-0005-0000-0000-000099150000}"/>
    <cellStyle name="Output 6" xfId="5597" xr:uid="{00000000-0005-0000-0000-00009A150000}"/>
    <cellStyle name="Output 7" xfId="5598" xr:uid="{00000000-0005-0000-0000-00009B150000}"/>
    <cellStyle name="Output 8" xfId="5599" xr:uid="{00000000-0005-0000-0000-00009C150000}"/>
    <cellStyle name="Page Number" xfId="5600" xr:uid="{00000000-0005-0000-0000-00009D150000}"/>
    <cellStyle name="Pattern" xfId="124" xr:uid="{00000000-0005-0000-0000-00009E150000}"/>
    <cellStyle name="Percent" xfId="7" builtinId="5"/>
    <cellStyle name="Percent 10" xfId="159" xr:uid="{00000000-0005-0000-0000-0000A0150000}"/>
    <cellStyle name="Percent 11" xfId="160" xr:uid="{00000000-0005-0000-0000-0000A1150000}"/>
    <cellStyle name="Percent 12" xfId="161" xr:uid="{00000000-0005-0000-0000-0000A2150000}"/>
    <cellStyle name="Percent 13" xfId="162" xr:uid="{00000000-0005-0000-0000-0000A3150000}"/>
    <cellStyle name="Percent 14" xfId="163" xr:uid="{00000000-0005-0000-0000-0000A4150000}"/>
    <cellStyle name="Percent 15" xfId="164" xr:uid="{00000000-0005-0000-0000-0000A5150000}"/>
    <cellStyle name="Percent 16" xfId="165" xr:uid="{00000000-0005-0000-0000-0000A6150000}"/>
    <cellStyle name="Percent 17" xfId="166" xr:uid="{00000000-0005-0000-0000-0000A7150000}"/>
    <cellStyle name="Percent 17 2" xfId="5601" xr:uid="{00000000-0005-0000-0000-0000A8150000}"/>
    <cellStyle name="Percent 17 3" xfId="5602" xr:uid="{00000000-0005-0000-0000-0000A9150000}"/>
    <cellStyle name="Percent 17 4" xfId="5603" xr:uid="{00000000-0005-0000-0000-0000AA150000}"/>
    <cellStyle name="Percent 18" xfId="167" xr:uid="{00000000-0005-0000-0000-0000AB150000}"/>
    <cellStyle name="Percent 19" xfId="168" xr:uid="{00000000-0005-0000-0000-0000AC150000}"/>
    <cellStyle name="Percent 2" xfId="8" xr:uid="{00000000-0005-0000-0000-0000AD150000}"/>
    <cellStyle name="Percent 2 10" xfId="5604" xr:uid="{00000000-0005-0000-0000-0000AE150000}"/>
    <cellStyle name="Percent 2 10 2" xfId="5605" xr:uid="{00000000-0005-0000-0000-0000AF150000}"/>
    <cellStyle name="Percent 2 10 2 2" xfId="5606" xr:uid="{00000000-0005-0000-0000-0000B0150000}"/>
    <cellStyle name="Percent 2 10 2 3" xfId="5607" xr:uid="{00000000-0005-0000-0000-0000B1150000}"/>
    <cellStyle name="Percent 2 10 3" xfId="5608" xr:uid="{00000000-0005-0000-0000-0000B2150000}"/>
    <cellStyle name="Percent 2 10 4" xfId="5609" xr:uid="{00000000-0005-0000-0000-0000B3150000}"/>
    <cellStyle name="Percent 2 10 5" xfId="5610" xr:uid="{00000000-0005-0000-0000-0000B4150000}"/>
    <cellStyle name="Percent 2 11" xfId="5611" xr:uid="{00000000-0005-0000-0000-0000B5150000}"/>
    <cellStyle name="Percent 2 11 2" xfId="5612" xr:uid="{00000000-0005-0000-0000-0000B6150000}"/>
    <cellStyle name="Percent 2 11 2 2" xfId="5613" xr:uid="{00000000-0005-0000-0000-0000B7150000}"/>
    <cellStyle name="Percent 2 11 2 3" xfId="5614" xr:uid="{00000000-0005-0000-0000-0000B8150000}"/>
    <cellStyle name="Percent 2 11 3" xfId="5615" xr:uid="{00000000-0005-0000-0000-0000B9150000}"/>
    <cellStyle name="Percent 2 12" xfId="5616" xr:uid="{00000000-0005-0000-0000-0000BA150000}"/>
    <cellStyle name="Percent 2 13" xfId="5617" xr:uid="{00000000-0005-0000-0000-0000BB150000}"/>
    <cellStyle name="Percent 2 14" xfId="5618" xr:uid="{00000000-0005-0000-0000-0000BC150000}"/>
    <cellStyle name="Percent 2 15" xfId="5619" xr:uid="{00000000-0005-0000-0000-0000BD150000}"/>
    <cellStyle name="Percent 2 16" xfId="5620" xr:uid="{00000000-0005-0000-0000-0000BE150000}"/>
    <cellStyle name="Percent 2 17" xfId="5621" xr:uid="{00000000-0005-0000-0000-0000BF150000}"/>
    <cellStyle name="Percent 2 18" xfId="5622" xr:uid="{00000000-0005-0000-0000-0000C0150000}"/>
    <cellStyle name="Percent 2 19" xfId="5623" xr:uid="{00000000-0005-0000-0000-0000C1150000}"/>
    <cellStyle name="Percent 2 2" xfId="134" xr:uid="{00000000-0005-0000-0000-0000C2150000}"/>
    <cellStyle name="Percent 2 2 10" xfId="5624" xr:uid="{00000000-0005-0000-0000-0000C3150000}"/>
    <cellStyle name="Percent 2 2 11" xfId="5625" xr:uid="{00000000-0005-0000-0000-0000C4150000}"/>
    <cellStyle name="Percent 2 2 12" xfId="5626" xr:uid="{00000000-0005-0000-0000-0000C5150000}"/>
    <cellStyle name="Percent 2 2 13" xfId="5627" xr:uid="{00000000-0005-0000-0000-0000C6150000}"/>
    <cellStyle name="Percent 2 2 14" xfId="5628" xr:uid="{00000000-0005-0000-0000-0000C7150000}"/>
    <cellStyle name="Percent 2 2 15" xfId="5629" xr:uid="{00000000-0005-0000-0000-0000C8150000}"/>
    <cellStyle name="Percent 2 2 16" xfId="5630" xr:uid="{00000000-0005-0000-0000-0000C9150000}"/>
    <cellStyle name="Percent 2 2 17" xfId="5631" xr:uid="{00000000-0005-0000-0000-0000CA150000}"/>
    <cellStyle name="Percent 2 2 18" xfId="5632" xr:uid="{00000000-0005-0000-0000-0000CB150000}"/>
    <cellStyle name="Percent 2 2 19" xfId="5633" xr:uid="{00000000-0005-0000-0000-0000CC150000}"/>
    <cellStyle name="Percent 2 2 2" xfId="5634" xr:uid="{00000000-0005-0000-0000-0000CD150000}"/>
    <cellStyle name="Percent 2 2 2 2" xfId="5635" xr:uid="{00000000-0005-0000-0000-0000CE150000}"/>
    <cellStyle name="Percent 2 2 2 2 2" xfId="5636" xr:uid="{00000000-0005-0000-0000-0000CF150000}"/>
    <cellStyle name="Percent 2 2 2 2 3" xfId="5637" xr:uid="{00000000-0005-0000-0000-0000D0150000}"/>
    <cellStyle name="Percent 2 2 2 3" xfId="5638" xr:uid="{00000000-0005-0000-0000-0000D1150000}"/>
    <cellStyle name="Percent 2 2 2 4" xfId="5639" xr:uid="{00000000-0005-0000-0000-0000D2150000}"/>
    <cellStyle name="Percent 2 2 2 5" xfId="5640" xr:uid="{00000000-0005-0000-0000-0000D3150000}"/>
    <cellStyle name="Percent 2 2 20" xfId="5641" xr:uid="{00000000-0005-0000-0000-0000D4150000}"/>
    <cellStyle name="Percent 2 2 3" xfId="5642" xr:uid="{00000000-0005-0000-0000-0000D5150000}"/>
    <cellStyle name="Percent 2 2 4" xfId="5643" xr:uid="{00000000-0005-0000-0000-0000D6150000}"/>
    <cellStyle name="Percent 2 2 4 2" xfId="5644" xr:uid="{00000000-0005-0000-0000-0000D7150000}"/>
    <cellStyle name="Percent 2 2 4 2 2" xfId="5645" xr:uid="{00000000-0005-0000-0000-0000D8150000}"/>
    <cellStyle name="Percent 2 2 4 2 3" xfId="5646" xr:uid="{00000000-0005-0000-0000-0000D9150000}"/>
    <cellStyle name="Percent 2 2 4 3" xfId="5647" xr:uid="{00000000-0005-0000-0000-0000DA150000}"/>
    <cellStyle name="Percent 2 2 5" xfId="5648" xr:uid="{00000000-0005-0000-0000-0000DB150000}"/>
    <cellStyle name="Percent 2 2 6" xfId="5649" xr:uid="{00000000-0005-0000-0000-0000DC150000}"/>
    <cellStyle name="Percent 2 2 7" xfId="5650" xr:uid="{00000000-0005-0000-0000-0000DD150000}"/>
    <cellStyle name="Percent 2 2 8" xfId="5651" xr:uid="{00000000-0005-0000-0000-0000DE150000}"/>
    <cellStyle name="Percent 2 2 9" xfId="5652" xr:uid="{00000000-0005-0000-0000-0000DF150000}"/>
    <cellStyle name="Percent 2 20" xfId="5653" xr:uid="{00000000-0005-0000-0000-0000E0150000}"/>
    <cellStyle name="Percent 2 21" xfId="5654" xr:uid="{00000000-0005-0000-0000-0000E1150000}"/>
    <cellStyle name="Percent 2 22" xfId="5655" xr:uid="{00000000-0005-0000-0000-0000E2150000}"/>
    <cellStyle name="Percent 2 23" xfId="5656" xr:uid="{00000000-0005-0000-0000-0000E3150000}"/>
    <cellStyle name="Percent 2 24" xfId="5657" xr:uid="{00000000-0005-0000-0000-0000E4150000}"/>
    <cellStyle name="Percent 2 25" xfId="5658" xr:uid="{00000000-0005-0000-0000-0000E5150000}"/>
    <cellStyle name="Percent 2 26" xfId="5659" xr:uid="{00000000-0005-0000-0000-0000E6150000}"/>
    <cellStyle name="Percent 2 27" xfId="5660" xr:uid="{00000000-0005-0000-0000-0000E7150000}"/>
    <cellStyle name="Percent 2 28" xfId="5661" xr:uid="{00000000-0005-0000-0000-0000E8150000}"/>
    <cellStyle name="Percent 2 29" xfId="5662" xr:uid="{00000000-0005-0000-0000-0000E9150000}"/>
    <cellStyle name="Percent 2 3" xfId="55" xr:uid="{00000000-0005-0000-0000-0000EA150000}"/>
    <cellStyle name="Percent 2 3 10" xfId="5663" xr:uid="{00000000-0005-0000-0000-0000EB150000}"/>
    <cellStyle name="Percent 2 3 11" xfId="5664" xr:uid="{00000000-0005-0000-0000-0000EC150000}"/>
    <cellStyle name="Percent 2 3 12" xfId="5665" xr:uid="{00000000-0005-0000-0000-0000ED150000}"/>
    <cellStyle name="Percent 2 3 13" xfId="5666" xr:uid="{00000000-0005-0000-0000-0000EE150000}"/>
    <cellStyle name="Percent 2 3 14" xfId="5667" xr:uid="{00000000-0005-0000-0000-0000EF150000}"/>
    <cellStyle name="Percent 2 3 15" xfId="5668" xr:uid="{00000000-0005-0000-0000-0000F0150000}"/>
    <cellStyle name="Percent 2 3 16" xfId="5669" xr:uid="{00000000-0005-0000-0000-0000F1150000}"/>
    <cellStyle name="Percent 2 3 17" xfId="5670" xr:uid="{00000000-0005-0000-0000-0000F2150000}"/>
    <cellStyle name="Percent 2 3 18" xfId="5671" xr:uid="{00000000-0005-0000-0000-0000F3150000}"/>
    <cellStyle name="Percent 2 3 19" xfId="5672" xr:uid="{00000000-0005-0000-0000-0000F4150000}"/>
    <cellStyle name="Percent 2 3 2" xfId="5673" xr:uid="{00000000-0005-0000-0000-0000F5150000}"/>
    <cellStyle name="Percent 2 3 3" xfId="5674" xr:uid="{00000000-0005-0000-0000-0000F6150000}"/>
    <cellStyle name="Percent 2 3 4" xfId="5675" xr:uid="{00000000-0005-0000-0000-0000F7150000}"/>
    <cellStyle name="Percent 2 3 5" xfId="5676" xr:uid="{00000000-0005-0000-0000-0000F8150000}"/>
    <cellStyle name="Percent 2 3 6" xfId="5677" xr:uid="{00000000-0005-0000-0000-0000F9150000}"/>
    <cellStyle name="Percent 2 3 7" xfId="5678" xr:uid="{00000000-0005-0000-0000-0000FA150000}"/>
    <cellStyle name="Percent 2 3 8" xfId="5679" xr:uid="{00000000-0005-0000-0000-0000FB150000}"/>
    <cellStyle name="Percent 2 3 9" xfId="5680" xr:uid="{00000000-0005-0000-0000-0000FC150000}"/>
    <cellStyle name="Percent 2 30" xfId="5681" xr:uid="{00000000-0005-0000-0000-0000FD150000}"/>
    <cellStyle name="Percent 2 31" xfId="5682" xr:uid="{00000000-0005-0000-0000-0000FE150000}"/>
    <cellStyle name="Percent 2 32" xfId="5683" xr:uid="{00000000-0005-0000-0000-0000FF150000}"/>
    <cellStyle name="Percent 2 33" xfId="5684" xr:uid="{00000000-0005-0000-0000-000000160000}"/>
    <cellStyle name="Percent 2 34" xfId="5685" xr:uid="{00000000-0005-0000-0000-000001160000}"/>
    <cellStyle name="Percent 2 35" xfId="5686" xr:uid="{00000000-0005-0000-0000-000002160000}"/>
    <cellStyle name="Percent 2 36" xfId="5687" xr:uid="{00000000-0005-0000-0000-000003160000}"/>
    <cellStyle name="Percent 2 37" xfId="5688" xr:uid="{00000000-0005-0000-0000-000004160000}"/>
    <cellStyle name="Percent 2 38" xfId="5689" xr:uid="{00000000-0005-0000-0000-000005160000}"/>
    <cellStyle name="Percent 2 39" xfId="5690" xr:uid="{00000000-0005-0000-0000-000006160000}"/>
    <cellStyle name="Percent 2 4" xfId="5691" xr:uid="{00000000-0005-0000-0000-000007160000}"/>
    <cellStyle name="Percent 2 4 10" xfId="5692" xr:uid="{00000000-0005-0000-0000-000008160000}"/>
    <cellStyle name="Percent 2 4 11" xfId="5693" xr:uid="{00000000-0005-0000-0000-000009160000}"/>
    <cellStyle name="Percent 2 4 12" xfId="5694" xr:uid="{00000000-0005-0000-0000-00000A160000}"/>
    <cellStyle name="Percent 2 4 13" xfId="5695" xr:uid="{00000000-0005-0000-0000-00000B160000}"/>
    <cellStyle name="Percent 2 4 14" xfId="5696" xr:uid="{00000000-0005-0000-0000-00000C160000}"/>
    <cellStyle name="Percent 2 4 15" xfId="5697" xr:uid="{00000000-0005-0000-0000-00000D160000}"/>
    <cellStyle name="Percent 2 4 16" xfId="5698" xr:uid="{00000000-0005-0000-0000-00000E160000}"/>
    <cellStyle name="Percent 2 4 17" xfId="5699" xr:uid="{00000000-0005-0000-0000-00000F160000}"/>
    <cellStyle name="Percent 2 4 18" xfId="5700" xr:uid="{00000000-0005-0000-0000-000010160000}"/>
    <cellStyle name="Percent 2 4 19" xfId="5701" xr:uid="{00000000-0005-0000-0000-000011160000}"/>
    <cellStyle name="Percent 2 4 2" xfId="5702" xr:uid="{00000000-0005-0000-0000-000012160000}"/>
    <cellStyle name="Percent 2 4 3" xfId="5703" xr:uid="{00000000-0005-0000-0000-000013160000}"/>
    <cellStyle name="Percent 2 4 4" xfId="5704" xr:uid="{00000000-0005-0000-0000-000014160000}"/>
    <cellStyle name="Percent 2 4 5" xfId="5705" xr:uid="{00000000-0005-0000-0000-000015160000}"/>
    <cellStyle name="Percent 2 4 6" xfId="5706" xr:uid="{00000000-0005-0000-0000-000016160000}"/>
    <cellStyle name="Percent 2 4 7" xfId="5707" xr:uid="{00000000-0005-0000-0000-000017160000}"/>
    <cellStyle name="Percent 2 4 8" xfId="5708" xr:uid="{00000000-0005-0000-0000-000018160000}"/>
    <cellStyle name="Percent 2 4 9" xfId="5709" xr:uid="{00000000-0005-0000-0000-000019160000}"/>
    <cellStyle name="Percent 2 40" xfId="5710" xr:uid="{00000000-0005-0000-0000-00001A160000}"/>
    <cellStyle name="Percent 2 41" xfId="5711" xr:uid="{00000000-0005-0000-0000-00001B160000}"/>
    <cellStyle name="Percent 2 42" xfId="5712" xr:uid="{00000000-0005-0000-0000-00001C160000}"/>
    <cellStyle name="Percent 2 43" xfId="5713" xr:uid="{00000000-0005-0000-0000-00001D160000}"/>
    <cellStyle name="Percent 2 44" xfId="5714" xr:uid="{00000000-0005-0000-0000-00001E160000}"/>
    <cellStyle name="Percent 2 45" xfId="5715" xr:uid="{00000000-0005-0000-0000-00001F160000}"/>
    <cellStyle name="Percent 2 46" xfId="5716" xr:uid="{00000000-0005-0000-0000-000020160000}"/>
    <cellStyle name="Percent 2 47" xfId="5717" xr:uid="{00000000-0005-0000-0000-000021160000}"/>
    <cellStyle name="Percent 2 48" xfId="5718" xr:uid="{00000000-0005-0000-0000-000022160000}"/>
    <cellStyle name="Percent 2 49" xfId="5719" xr:uid="{00000000-0005-0000-0000-000023160000}"/>
    <cellStyle name="Percent 2 5" xfId="5720" xr:uid="{00000000-0005-0000-0000-000024160000}"/>
    <cellStyle name="Percent 2 5 10" xfId="5721" xr:uid="{00000000-0005-0000-0000-000025160000}"/>
    <cellStyle name="Percent 2 5 11" xfId="5722" xr:uid="{00000000-0005-0000-0000-000026160000}"/>
    <cellStyle name="Percent 2 5 12" xfId="5723" xr:uid="{00000000-0005-0000-0000-000027160000}"/>
    <cellStyle name="Percent 2 5 13" xfId="5724" xr:uid="{00000000-0005-0000-0000-000028160000}"/>
    <cellStyle name="Percent 2 5 14" xfId="5725" xr:uid="{00000000-0005-0000-0000-000029160000}"/>
    <cellStyle name="Percent 2 5 15" xfId="5726" xr:uid="{00000000-0005-0000-0000-00002A160000}"/>
    <cellStyle name="Percent 2 5 16" xfId="5727" xr:uid="{00000000-0005-0000-0000-00002B160000}"/>
    <cellStyle name="Percent 2 5 17" xfId="5728" xr:uid="{00000000-0005-0000-0000-00002C160000}"/>
    <cellStyle name="Percent 2 5 18" xfId="5729" xr:uid="{00000000-0005-0000-0000-00002D160000}"/>
    <cellStyle name="Percent 2 5 19" xfId="5730" xr:uid="{00000000-0005-0000-0000-00002E160000}"/>
    <cellStyle name="Percent 2 5 2" xfId="5731" xr:uid="{00000000-0005-0000-0000-00002F160000}"/>
    <cellStyle name="Percent 2 5 3" xfId="5732" xr:uid="{00000000-0005-0000-0000-000030160000}"/>
    <cellStyle name="Percent 2 5 4" xfId="5733" xr:uid="{00000000-0005-0000-0000-000031160000}"/>
    <cellStyle name="Percent 2 5 5" xfId="5734" xr:uid="{00000000-0005-0000-0000-000032160000}"/>
    <cellStyle name="Percent 2 5 6" xfId="5735" xr:uid="{00000000-0005-0000-0000-000033160000}"/>
    <cellStyle name="Percent 2 5 7" xfId="5736" xr:uid="{00000000-0005-0000-0000-000034160000}"/>
    <cellStyle name="Percent 2 5 8" xfId="5737" xr:uid="{00000000-0005-0000-0000-000035160000}"/>
    <cellStyle name="Percent 2 5 9" xfId="5738" xr:uid="{00000000-0005-0000-0000-000036160000}"/>
    <cellStyle name="Percent 2 50" xfId="5739" xr:uid="{00000000-0005-0000-0000-000037160000}"/>
    <cellStyle name="Percent 2 51" xfId="5740" xr:uid="{00000000-0005-0000-0000-000038160000}"/>
    <cellStyle name="Percent 2 52" xfId="5741" xr:uid="{00000000-0005-0000-0000-000039160000}"/>
    <cellStyle name="Percent 2 53" xfId="5742" xr:uid="{00000000-0005-0000-0000-00003A160000}"/>
    <cellStyle name="Percent 2 54" xfId="5743" xr:uid="{00000000-0005-0000-0000-00003B160000}"/>
    <cellStyle name="Percent 2 55" xfId="5744" xr:uid="{00000000-0005-0000-0000-00003C160000}"/>
    <cellStyle name="Percent 2 56" xfId="5745" xr:uid="{00000000-0005-0000-0000-00003D160000}"/>
    <cellStyle name="Percent 2 57" xfId="5746" xr:uid="{00000000-0005-0000-0000-00003E160000}"/>
    <cellStyle name="Percent 2 58" xfId="5747" xr:uid="{00000000-0005-0000-0000-00003F160000}"/>
    <cellStyle name="Percent 2 59" xfId="5748" xr:uid="{00000000-0005-0000-0000-000040160000}"/>
    <cellStyle name="Percent 2 6" xfId="5749" xr:uid="{00000000-0005-0000-0000-000041160000}"/>
    <cellStyle name="Percent 2 60" xfId="5750" xr:uid="{00000000-0005-0000-0000-000042160000}"/>
    <cellStyle name="Percent 2 61" xfId="5751" xr:uid="{00000000-0005-0000-0000-000043160000}"/>
    <cellStyle name="Percent 2 62" xfId="5752" xr:uid="{00000000-0005-0000-0000-000044160000}"/>
    <cellStyle name="Percent 2 63" xfId="5753" xr:uid="{00000000-0005-0000-0000-000045160000}"/>
    <cellStyle name="Percent 2 64" xfId="5754" xr:uid="{00000000-0005-0000-0000-000046160000}"/>
    <cellStyle name="Percent 2 65" xfId="5755" xr:uid="{00000000-0005-0000-0000-000047160000}"/>
    <cellStyle name="Percent 2 66" xfId="5756" xr:uid="{00000000-0005-0000-0000-000048160000}"/>
    <cellStyle name="Percent 2 67" xfId="5757" xr:uid="{00000000-0005-0000-0000-000049160000}"/>
    <cellStyle name="Percent 2 68" xfId="5758" xr:uid="{00000000-0005-0000-0000-00004A160000}"/>
    <cellStyle name="Percent 2 69" xfId="5759" xr:uid="{00000000-0005-0000-0000-00004B160000}"/>
    <cellStyle name="Percent 2 7" xfId="5760" xr:uid="{00000000-0005-0000-0000-00004C160000}"/>
    <cellStyle name="Percent 2 70" xfId="5761" xr:uid="{00000000-0005-0000-0000-00004D160000}"/>
    <cellStyle name="Percent 2 71" xfId="5762" xr:uid="{00000000-0005-0000-0000-00004E160000}"/>
    <cellStyle name="Percent 2 8" xfId="5763" xr:uid="{00000000-0005-0000-0000-00004F160000}"/>
    <cellStyle name="Percent 2 9" xfId="5764" xr:uid="{00000000-0005-0000-0000-000050160000}"/>
    <cellStyle name="Percent 20" xfId="169" xr:uid="{00000000-0005-0000-0000-000051160000}"/>
    <cellStyle name="Percent 21" xfId="170" xr:uid="{00000000-0005-0000-0000-000052160000}"/>
    <cellStyle name="Percent 22" xfId="171" xr:uid="{00000000-0005-0000-0000-000053160000}"/>
    <cellStyle name="Percent 23" xfId="172" xr:uid="{00000000-0005-0000-0000-000054160000}"/>
    <cellStyle name="Percent 24" xfId="173" xr:uid="{00000000-0005-0000-0000-000055160000}"/>
    <cellStyle name="Percent 25" xfId="174" xr:uid="{00000000-0005-0000-0000-000056160000}"/>
    <cellStyle name="Percent 26" xfId="175" xr:uid="{00000000-0005-0000-0000-000057160000}"/>
    <cellStyle name="Percent 27" xfId="176" xr:uid="{00000000-0005-0000-0000-000058160000}"/>
    <cellStyle name="Percent 28" xfId="177" xr:uid="{00000000-0005-0000-0000-000059160000}"/>
    <cellStyle name="Percent 29" xfId="178" xr:uid="{00000000-0005-0000-0000-00005A160000}"/>
    <cellStyle name="Percent 3" xfId="125" xr:uid="{00000000-0005-0000-0000-00005B160000}"/>
    <cellStyle name="Percent 3 10" xfId="5765" xr:uid="{00000000-0005-0000-0000-00005C160000}"/>
    <cellStyle name="Percent 3 11" xfId="5766" xr:uid="{00000000-0005-0000-0000-00005D160000}"/>
    <cellStyle name="Percent 3 12" xfId="5767" xr:uid="{00000000-0005-0000-0000-00005E160000}"/>
    <cellStyle name="Percent 3 13" xfId="5768" xr:uid="{00000000-0005-0000-0000-00005F160000}"/>
    <cellStyle name="Percent 3 14" xfId="5769" xr:uid="{00000000-0005-0000-0000-000060160000}"/>
    <cellStyle name="Percent 3 15" xfId="5770" xr:uid="{00000000-0005-0000-0000-000061160000}"/>
    <cellStyle name="Percent 3 16" xfId="5771" xr:uid="{00000000-0005-0000-0000-000062160000}"/>
    <cellStyle name="Percent 3 17" xfId="5772" xr:uid="{00000000-0005-0000-0000-000063160000}"/>
    <cellStyle name="Percent 3 18" xfId="5773" xr:uid="{00000000-0005-0000-0000-000064160000}"/>
    <cellStyle name="Percent 3 19" xfId="5774" xr:uid="{00000000-0005-0000-0000-000065160000}"/>
    <cellStyle name="Percent 3 2" xfId="5775" xr:uid="{00000000-0005-0000-0000-000066160000}"/>
    <cellStyle name="Percent 3 2 10" xfId="5776" xr:uid="{00000000-0005-0000-0000-000067160000}"/>
    <cellStyle name="Percent 3 2 11" xfId="5777" xr:uid="{00000000-0005-0000-0000-000068160000}"/>
    <cellStyle name="Percent 3 2 12" xfId="5778" xr:uid="{00000000-0005-0000-0000-000069160000}"/>
    <cellStyle name="Percent 3 2 13" xfId="5779" xr:uid="{00000000-0005-0000-0000-00006A160000}"/>
    <cellStyle name="Percent 3 2 14" xfId="5780" xr:uid="{00000000-0005-0000-0000-00006B160000}"/>
    <cellStyle name="Percent 3 2 15" xfId="5781" xr:uid="{00000000-0005-0000-0000-00006C160000}"/>
    <cellStyle name="Percent 3 2 16" xfId="5782" xr:uid="{00000000-0005-0000-0000-00006D160000}"/>
    <cellStyle name="Percent 3 2 17" xfId="5783" xr:uid="{00000000-0005-0000-0000-00006E160000}"/>
    <cellStyle name="Percent 3 2 18" xfId="5784" xr:uid="{00000000-0005-0000-0000-00006F160000}"/>
    <cellStyle name="Percent 3 2 19" xfId="5785" xr:uid="{00000000-0005-0000-0000-000070160000}"/>
    <cellStyle name="Percent 3 2 2" xfId="5786" xr:uid="{00000000-0005-0000-0000-000071160000}"/>
    <cellStyle name="Percent 3 2 20" xfId="5787" xr:uid="{00000000-0005-0000-0000-000072160000}"/>
    <cellStyle name="Percent 3 2 21" xfId="5788" xr:uid="{00000000-0005-0000-0000-000073160000}"/>
    <cellStyle name="Percent 3 2 22" xfId="5789" xr:uid="{00000000-0005-0000-0000-000074160000}"/>
    <cellStyle name="Percent 3 2 23" xfId="5790" xr:uid="{00000000-0005-0000-0000-000075160000}"/>
    <cellStyle name="Percent 3 2 24" xfId="5791" xr:uid="{00000000-0005-0000-0000-000076160000}"/>
    <cellStyle name="Percent 3 2 25" xfId="5792" xr:uid="{00000000-0005-0000-0000-000077160000}"/>
    <cellStyle name="Percent 3 2 26" xfId="5793" xr:uid="{00000000-0005-0000-0000-000078160000}"/>
    <cellStyle name="Percent 3 2 27" xfId="5794" xr:uid="{00000000-0005-0000-0000-000079160000}"/>
    <cellStyle name="Percent 3 2 28" xfId="5795" xr:uid="{00000000-0005-0000-0000-00007A160000}"/>
    <cellStyle name="Percent 3 2 29" xfId="5796" xr:uid="{00000000-0005-0000-0000-00007B160000}"/>
    <cellStyle name="Percent 3 2 3" xfId="5797" xr:uid="{00000000-0005-0000-0000-00007C160000}"/>
    <cellStyle name="Percent 3 2 30" xfId="5798" xr:uid="{00000000-0005-0000-0000-00007D160000}"/>
    <cellStyle name="Percent 3 2 31" xfId="5799" xr:uid="{00000000-0005-0000-0000-00007E160000}"/>
    <cellStyle name="Percent 3 2 32" xfId="5800" xr:uid="{00000000-0005-0000-0000-00007F160000}"/>
    <cellStyle name="Percent 3 2 33" xfId="5801" xr:uid="{00000000-0005-0000-0000-000080160000}"/>
    <cellStyle name="Percent 3 2 34" xfId="5802" xr:uid="{00000000-0005-0000-0000-000081160000}"/>
    <cellStyle name="Percent 3 2 35" xfId="5803" xr:uid="{00000000-0005-0000-0000-000082160000}"/>
    <cellStyle name="Percent 3 2 36" xfId="5804" xr:uid="{00000000-0005-0000-0000-000083160000}"/>
    <cellStyle name="Percent 3 2 37" xfId="5805" xr:uid="{00000000-0005-0000-0000-000084160000}"/>
    <cellStyle name="Percent 3 2 38" xfId="5806" xr:uid="{00000000-0005-0000-0000-000085160000}"/>
    <cellStyle name="Percent 3 2 39" xfId="5807" xr:uid="{00000000-0005-0000-0000-000086160000}"/>
    <cellStyle name="Percent 3 2 4" xfId="5808" xr:uid="{00000000-0005-0000-0000-000087160000}"/>
    <cellStyle name="Percent 3 2 40" xfId="5809" xr:uid="{00000000-0005-0000-0000-000088160000}"/>
    <cellStyle name="Percent 3 2 41" xfId="5810" xr:uid="{00000000-0005-0000-0000-000089160000}"/>
    <cellStyle name="Percent 3 2 42" xfId="5811" xr:uid="{00000000-0005-0000-0000-00008A160000}"/>
    <cellStyle name="Percent 3 2 43" xfId="5812" xr:uid="{00000000-0005-0000-0000-00008B160000}"/>
    <cellStyle name="Percent 3 2 44" xfId="5813" xr:uid="{00000000-0005-0000-0000-00008C160000}"/>
    <cellStyle name="Percent 3 2 5" xfId="5814" xr:uid="{00000000-0005-0000-0000-00008D160000}"/>
    <cellStyle name="Percent 3 2 6" xfId="5815" xr:uid="{00000000-0005-0000-0000-00008E160000}"/>
    <cellStyle name="Percent 3 2 7" xfId="5816" xr:uid="{00000000-0005-0000-0000-00008F160000}"/>
    <cellStyle name="Percent 3 2 8" xfId="5817" xr:uid="{00000000-0005-0000-0000-000090160000}"/>
    <cellStyle name="Percent 3 2 9" xfId="5818" xr:uid="{00000000-0005-0000-0000-000091160000}"/>
    <cellStyle name="Percent 3 20" xfId="5819" xr:uid="{00000000-0005-0000-0000-000092160000}"/>
    <cellStyle name="Percent 3 21" xfId="5820" xr:uid="{00000000-0005-0000-0000-000093160000}"/>
    <cellStyle name="Percent 3 22" xfId="5821" xr:uid="{00000000-0005-0000-0000-000094160000}"/>
    <cellStyle name="Percent 3 23" xfId="5822" xr:uid="{00000000-0005-0000-0000-000095160000}"/>
    <cellStyle name="Percent 3 24" xfId="5823" xr:uid="{00000000-0005-0000-0000-000096160000}"/>
    <cellStyle name="Percent 3 25" xfId="5824" xr:uid="{00000000-0005-0000-0000-000097160000}"/>
    <cellStyle name="Percent 3 26" xfId="5825" xr:uid="{00000000-0005-0000-0000-000098160000}"/>
    <cellStyle name="Percent 3 27" xfId="5826" xr:uid="{00000000-0005-0000-0000-000099160000}"/>
    <cellStyle name="Percent 3 28" xfId="5827" xr:uid="{00000000-0005-0000-0000-00009A160000}"/>
    <cellStyle name="Percent 3 29" xfId="5828" xr:uid="{00000000-0005-0000-0000-00009B160000}"/>
    <cellStyle name="Percent 3 3" xfId="5829" xr:uid="{00000000-0005-0000-0000-00009C160000}"/>
    <cellStyle name="Percent 3 3 2" xfId="5830" xr:uid="{00000000-0005-0000-0000-00009D160000}"/>
    <cellStyle name="Percent 3 30" xfId="5831" xr:uid="{00000000-0005-0000-0000-00009E160000}"/>
    <cellStyle name="Percent 3 31" xfId="5832" xr:uid="{00000000-0005-0000-0000-00009F160000}"/>
    <cellStyle name="Percent 3 32" xfId="5833" xr:uid="{00000000-0005-0000-0000-0000A0160000}"/>
    <cellStyle name="Percent 3 33" xfId="5834" xr:uid="{00000000-0005-0000-0000-0000A1160000}"/>
    <cellStyle name="Percent 3 34" xfId="5835" xr:uid="{00000000-0005-0000-0000-0000A2160000}"/>
    <cellStyle name="Percent 3 4" xfId="5836" xr:uid="{00000000-0005-0000-0000-0000A3160000}"/>
    <cellStyle name="Percent 3 5" xfId="5837" xr:uid="{00000000-0005-0000-0000-0000A4160000}"/>
    <cellStyle name="Percent 3 6" xfId="5838" xr:uid="{00000000-0005-0000-0000-0000A5160000}"/>
    <cellStyle name="Percent 3 7" xfId="5839" xr:uid="{00000000-0005-0000-0000-0000A6160000}"/>
    <cellStyle name="Percent 3 8" xfId="5840" xr:uid="{00000000-0005-0000-0000-0000A7160000}"/>
    <cellStyle name="Percent 3 9" xfId="5841" xr:uid="{00000000-0005-0000-0000-0000A8160000}"/>
    <cellStyle name="Percent 30" xfId="179" xr:uid="{00000000-0005-0000-0000-0000A9160000}"/>
    <cellStyle name="Percent 31" xfId="180" xr:uid="{00000000-0005-0000-0000-0000AA160000}"/>
    <cellStyle name="Percent 32" xfId="52" xr:uid="{00000000-0005-0000-0000-0000AB160000}"/>
    <cellStyle name="Percent 37" xfId="5842" xr:uid="{00000000-0005-0000-0000-0000AC160000}"/>
    <cellStyle name="Percent 38" xfId="5843" xr:uid="{00000000-0005-0000-0000-0000AD160000}"/>
    <cellStyle name="Percent 39" xfId="5844" xr:uid="{00000000-0005-0000-0000-0000AE160000}"/>
    <cellStyle name="Percent 4" xfId="126" xr:uid="{00000000-0005-0000-0000-0000AF160000}"/>
    <cellStyle name="Percent 4 10" xfId="5845" xr:uid="{00000000-0005-0000-0000-0000B0160000}"/>
    <cellStyle name="Percent 4 11" xfId="5846" xr:uid="{00000000-0005-0000-0000-0000B1160000}"/>
    <cellStyle name="Percent 4 12" xfId="5847" xr:uid="{00000000-0005-0000-0000-0000B2160000}"/>
    <cellStyle name="Percent 4 13" xfId="5848" xr:uid="{00000000-0005-0000-0000-0000B3160000}"/>
    <cellStyle name="Percent 4 14" xfId="5849" xr:uid="{00000000-0005-0000-0000-0000B4160000}"/>
    <cellStyle name="Percent 4 15" xfId="5850" xr:uid="{00000000-0005-0000-0000-0000B5160000}"/>
    <cellStyle name="Percent 4 16" xfId="5851" xr:uid="{00000000-0005-0000-0000-0000B6160000}"/>
    <cellStyle name="Percent 4 17" xfId="5852" xr:uid="{00000000-0005-0000-0000-0000B7160000}"/>
    <cellStyle name="Percent 4 18" xfId="5853" xr:uid="{00000000-0005-0000-0000-0000B8160000}"/>
    <cellStyle name="Percent 4 19" xfId="5854" xr:uid="{00000000-0005-0000-0000-0000B9160000}"/>
    <cellStyle name="Percent 4 2" xfId="5855" xr:uid="{00000000-0005-0000-0000-0000BA160000}"/>
    <cellStyle name="Percent 4 20" xfId="5856" xr:uid="{00000000-0005-0000-0000-0000BB160000}"/>
    <cellStyle name="Percent 4 21" xfId="5857" xr:uid="{00000000-0005-0000-0000-0000BC160000}"/>
    <cellStyle name="Percent 4 3" xfId="5858" xr:uid="{00000000-0005-0000-0000-0000BD160000}"/>
    <cellStyle name="Percent 4 4" xfId="5859" xr:uid="{00000000-0005-0000-0000-0000BE160000}"/>
    <cellStyle name="Percent 4 5" xfId="5860" xr:uid="{00000000-0005-0000-0000-0000BF160000}"/>
    <cellStyle name="Percent 4 6" xfId="5861" xr:uid="{00000000-0005-0000-0000-0000C0160000}"/>
    <cellStyle name="Percent 4 7" xfId="5862" xr:uid="{00000000-0005-0000-0000-0000C1160000}"/>
    <cellStyle name="Percent 4 8" xfId="5863" xr:uid="{00000000-0005-0000-0000-0000C2160000}"/>
    <cellStyle name="Percent 4 9" xfId="5864" xr:uid="{00000000-0005-0000-0000-0000C3160000}"/>
    <cellStyle name="Percent 40" xfId="5865" xr:uid="{00000000-0005-0000-0000-0000C4160000}"/>
    <cellStyle name="Percent 41" xfId="5866" xr:uid="{00000000-0005-0000-0000-0000C5160000}"/>
    <cellStyle name="Percent 42" xfId="5867" xr:uid="{00000000-0005-0000-0000-0000C6160000}"/>
    <cellStyle name="Percent 43" xfId="5868" xr:uid="{00000000-0005-0000-0000-0000C7160000}"/>
    <cellStyle name="Percent 5" xfId="136" xr:uid="{00000000-0005-0000-0000-0000C8160000}"/>
    <cellStyle name="Percent 5 2" xfId="5869" xr:uid="{00000000-0005-0000-0000-0000C9160000}"/>
    <cellStyle name="Percent 56" xfId="5870" xr:uid="{00000000-0005-0000-0000-0000CA160000}"/>
    <cellStyle name="Percent 57" xfId="5871" xr:uid="{00000000-0005-0000-0000-0000CB160000}"/>
    <cellStyle name="Percent 58" xfId="5872" xr:uid="{00000000-0005-0000-0000-0000CC160000}"/>
    <cellStyle name="Percent 59" xfId="5873" xr:uid="{00000000-0005-0000-0000-0000CD160000}"/>
    <cellStyle name="Percent 6" xfId="181" xr:uid="{00000000-0005-0000-0000-0000CE160000}"/>
    <cellStyle name="Percent 6 2" xfId="5874" xr:uid="{00000000-0005-0000-0000-0000CF160000}"/>
    <cellStyle name="Percent 6 3" xfId="5875" xr:uid="{00000000-0005-0000-0000-0000D0160000}"/>
    <cellStyle name="Percent 6 4" xfId="5876" xr:uid="{00000000-0005-0000-0000-0000D1160000}"/>
    <cellStyle name="Percent 60" xfId="5877" xr:uid="{00000000-0005-0000-0000-0000D2160000}"/>
    <cellStyle name="Percent 61" xfId="5878" xr:uid="{00000000-0005-0000-0000-0000D3160000}"/>
    <cellStyle name="Percent 7" xfId="182" xr:uid="{00000000-0005-0000-0000-0000D4160000}"/>
    <cellStyle name="Percent 8" xfId="183" xr:uid="{00000000-0005-0000-0000-0000D5160000}"/>
    <cellStyle name="Percent 9" xfId="184" xr:uid="{00000000-0005-0000-0000-0000D6160000}"/>
    <cellStyle name="Plain" xfId="127" xr:uid="{00000000-0005-0000-0000-0000D7160000}"/>
    <cellStyle name="Ratio" xfId="5879" xr:uid="{00000000-0005-0000-0000-0000D8160000}"/>
    <cellStyle name="Ratio 10" xfId="5880" xr:uid="{00000000-0005-0000-0000-0000D9160000}"/>
    <cellStyle name="Ratio 11" xfId="5881" xr:uid="{00000000-0005-0000-0000-0000DA160000}"/>
    <cellStyle name="Ratio 12" xfId="5882" xr:uid="{00000000-0005-0000-0000-0000DB160000}"/>
    <cellStyle name="Ratio 13" xfId="5883" xr:uid="{00000000-0005-0000-0000-0000DC160000}"/>
    <cellStyle name="Ratio 14" xfId="5884" xr:uid="{00000000-0005-0000-0000-0000DD160000}"/>
    <cellStyle name="Ratio 15" xfId="5885" xr:uid="{00000000-0005-0000-0000-0000DE160000}"/>
    <cellStyle name="Ratio 16" xfId="5886" xr:uid="{00000000-0005-0000-0000-0000DF160000}"/>
    <cellStyle name="Ratio 17" xfId="5887" xr:uid="{00000000-0005-0000-0000-0000E0160000}"/>
    <cellStyle name="Ratio 18" xfId="5888" xr:uid="{00000000-0005-0000-0000-0000E1160000}"/>
    <cellStyle name="Ratio 19" xfId="5889" xr:uid="{00000000-0005-0000-0000-0000E2160000}"/>
    <cellStyle name="Ratio 2" xfId="5890" xr:uid="{00000000-0005-0000-0000-0000E3160000}"/>
    <cellStyle name="Ratio 20" xfId="5891" xr:uid="{00000000-0005-0000-0000-0000E4160000}"/>
    <cellStyle name="Ratio 21" xfId="5892" xr:uid="{00000000-0005-0000-0000-0000E5160000}"/>
    <cellStyle name="Ratio 22" xfId="5893" xr:uid="{00000000-0005-0000-0000-0000E6160000}"/>
    <cellStyle name="Ratio 23" xfId="5894" xr:uid="{00000000-0005-0000-0000-0000E7160000}"/>
    <cellStyle name="Ratio 24" xfId="5895" xr:uid="{00000000-0005-0000-0000-0000E8160000}"/>
    <cellStyle name="Ratio 3" xfId="5896" xr:uid="{00000000-0005-0000-0000-0000E9160000}"/>
    <cellStyle name="Ratio 4" xfId="5897" xr:uid="{00000000-0005-0000-0000-0000EA160000}"/>
    <cellStyle name="Ratio 5" xfId="5898" xr:uid="{00000000-0005-0000-0000-0000EB160000}"/>
    <cellStyle name="Ratio 6" xfId="5899" xr:uid="{00000000-0005-0000-0000-0000EC160000}"/>
    <cellStyle name="Ratio 7" xfId="5900" xr:uid="{00000000-0005-0000-0000-0000ED160000}"/>
    <cellStyle name="Ratio 8" xfId="5901" xr:uid="{00000000-0005-0000-0000-0000EE160000}"/>
    <cellStyle name="Ratio 9" xfId="5902" xr:uid="{00000000-0005-0000-0000-0000EF160000}"/>
    <cellStyle name="Red Heading" xfId="5903" xr:uid="{00000000-0005-0000-0000-0000F0160000}"/>
    <cellStyle name="Red Heading 10" xfId="5904" xr:uid="{00000000-0005-0000-0000-0000F1160000}"/>
    <cellStyle name="Red Heading 10 2" xfId="5905" xr:uid="{00000000-0005-0000-0000-0000F2160000}"/>
    <cellStyle name="Red Heading 10 2 2" xfId="5906" xr:uid="{00000000-0005-0000-0000-0000F3160000}"/>
    <cellStyle name="Red Heading 10 2 2 2" xfId="5907" xr:uid="{00000000-0005-0000-0000-0000F4160000}"/>
    <cellStyle name="Red Heading 10 2 3" xfId="5908" xr:uid="{00000000-0005-0000-0000-0000F5160000}"/>
    <cellStyle name="Red Heading 10 2 3 2" xfId="5909" xr:uid="{00000000-0005-0000-0000-0000F6160000}"/>
    <cellStyle name="Red Heading 10 2 4" xfId="5910" xr:uid="{00000000-0005-0000-0000-0000F7160000}"/>
    <cellStyle name="Red Heading 10 3" xfId="5911" xr:uid="{00000000-0005-0000-0000-0000F8160000}"/>
    <cellStyle name="Red Heading 10 3 2" xfId="5912" xr:uid="{00000000-0005-0000-0000-0000F9160000}"/>
    <cellStyle name="Red Heading 10 3 2 2" xfId="5913" xr:uid="{00000000-0005-0000-0000-0000FA160000}"/>
    <cellStyle name="Red Heading 10 3 3" xfId="5914" xr:uid="{00000000-0005-0000-0000-0000FB160000}"/>
    <cellStyle name="Red Heading 10 3 3 2" xfId="5915" xr:uid="{00000000-0005-0000-0000-0000FC160000}"/>
    <cellStyle name="Red Heading 10 3 4" xfId="5916" xr:uid="{00000000-0005-0000-0000-0000FD160000}"/>
    <cellStyle name="Red Heading 10 4" xfId="5917" xr:uid="{00000000-0005-0000-0000-0000FE160000}"/>
    <cellStyle name="Red Heading 10 4 2" xfId="5918" xr:uid="{00000000-0005-0000-0000-0000FF160000}"/>
    <cellStyle name="Red Heading 10 5" xfId="5919" xr:uid="{00000000-0005-0000-0000-000000170000}"/>
    <cellStyle name="Red Heading 10 5 2" xfId="5920" xr:uid="{00000000-0005-0000-0000-000001170000}"/>
    <cellStyle name="Red Heading 10 6" xfId="5921" xr:uid="{00000000-0005-0000-0000-000002170000}"/>
    <cellStyle name="Red Heading 11" xfId="5922" xr:uid="{00000000-0005-0000-0000-000003170000}"/>
    <cellStyle name="Red Heading 11 2" xfId="5923" xr:uid="{00000000-0005-0000-0000-000004170000}"/>
    <cellStyle name="Red Heading 11 2 2" xfId="5924" xr:uid="{00000000-0005-0000-0000-000005170000}"/>
    <cellStyle name="Red Heading 11 3" xfId="5925" xr:uid="{00000000-0005-0000-0000-000006170000}"/>
    <cellStyle name="Red Heading 11 3 2" xfId="5926" xr:uid="{00000000-0005-0000-0000-000007170000}"/>
    <cellStyle name="Red Heading 11 4" xfId="5927" xr:uid="{00000000-0005-0000-0000-000008170000}"/>
    <cellStyle name="Red Heading 12" xfId="5928" xr:uid="{00000000-0005-0000-0000-000009170000}"/>
    <cellStyle name="Red Heading 12 2" xfId="5929" xr:uid="{00000000-0005-0000-0000-00000A170000}"/>
    <cellStyle name="Red Heading 13" xfId="5930" xr:uid="{00000000-0005-0000-0000-00000B170000}"/>
    <cellStyle name="Red Heading 13 2" xfId="5931" xr:uid="{00000000-0005-0000-0000-00000C170000}"/>
    <cellStyle name="Red Heading 14" xfId="5932" xr:uid="{00000000-0005-0000-0000-00000D170000}"/>
    <cellStyle name="Red Heading 14 2" xfId="5933" xr:uid="{00000000-0005-0000-0000-00000E170000}"/>
    <cellStyle name="Red Heading 15" xfId="5934" xr:uid="{00000000-0005-0000-0000-00000F170000}"/>
    <cellStyle name="Red Heading 15 2" xfId="5935" xr:uid="{00000000-0005-0000-0000-000010170000}"/>
    <cellStyle name="Red Heading 16" xfId="5936" xr:uid="{00000000-0005-0000-0000-000011170000}"/>
    <cellStyle name="Red Heading 16 2" xfId="5937" xr:uid="{00000000-0005-0000-0000-000012170000}"/>
    <cellStyle name="Red Heading 17" xfId="5938" xr:uid="{00000000-0005-0000-0000-000013170000}"/>
    <cellStyle name="Red Heading 17 2" xfId="5939" xr:uid="{00000000-0005-0000-0000-000014170000}"/>
    <cellStyle name="Red Heading 18" xfId="5940" xr:uid="{00000000-0005-0000-0000-000015170000}"/>
    <cellStyle name="Red Heading 18 2" xfId="5941" xr:uid="{00000000-0005-0000-0000-000016170000}"/>
    <cellStyle name="Red Heading 19" xfId="5942" xr:uid="{00000000-0005-0000-0000-000017170000}"/>
    <cellStyle name="Red Heading 19 2" xfId="5943" xr:uid="{00000000-0005-0000-0000-000018170000}"/>
    <cellStyle name="Red Heading 2" xfId="5944" xr:uid="{00000000-0005-0000-0000-000019170000}"/>
    <cellStyle name="Red Heading 2 10" xfId="5945" xr:uid="{00000000-0005-0000-0000-00001A170000}"/>
    <cellStyle name="Red Heading 2 10 2" xfId="5946" xr:uid="{00000000-0005-0000-0000-00001B170000}"/>
    <cellStyle name="Red Heading 2 11" xfId="5947" xr:uid="{00000000-0005-0000-0000-00001C170000}"/>
    <cellStyle name="Red Heading 2 11 2" xfId="5948" xr:uid="{00000000-0005-0000-0000-00001D170000}"/>
    <cellStyle name="Red Heading 2 12" xfId="5949" xr:uid="{00000000-0005-0000-0000-00001E170000}"/>
    <cellStyle name="Red Heading 2 12 2" xfId="5950" xr:uid="{00000000-0005-0000-0000-00001F170000}"/>
    <cellStyle name="Red Heading 2 13" xfId="5951" xr:uid="{00000000-0005-0000-0000-000020170000}"/>
    <cellStyle name="Red Heading 2 13 2" xfId="5952" xr:uid="{00000000-0005-0000-0000-000021170000}"/>
    <cellStyle name="Red Heading 2 14" xfId="5953" xr:uid="{00000000-0005-0000-0000-000022170000}"/>
    <cellStyle name="Red Heading 2 14 2" xfId="5954" xr:uid="{00000000-0005-0000-0000-000023170000}"/>
    <cellStyle name="Red Heading 2 15" xfId="5955" xr:uid="{00000000-0005-0000-0000-000024170000}"/>
    <cellStyle name="Red Heading 2 15 2" xfId="5956" xr:uid="{00000000-0005-0000-0000-000025170000}"/>
    <cellStyle name="Red Heading 2 16" xfId="5957" xr:uid="{00000000-0005-0000-0000-000026170000}"/>
    <cellStyle name="Red Heading 2 16 2" xfId="5958" xr:uid="{00000000-0005-0000-0000-000027170000}"/>
    <cellStyle name="Red Heading 2 17" xfId="5959" xr:uid="{00000000-0005-0000-0000-000028170000}"/>
    <cellStyle name="Red Heading 2 2" xfId="5960" xr:uid="{00000000-0005-0000-0000-000029170000}"/>
    <cellStyle name="Red Heading 2 2 10" xfId="5961" xr:uid="{00000000-0005-0000-0000-00002A170000}"/>
    <cellStyle name="Red Heading 2 2 10 2" xfId="5962" xr:uid="{00000000-0005-0000-0000-00002B170000}"/>
    <cellStyle name="Red Heading 2 2 11" xfId="5963" xr:uid="{00000000-0005-0000-0000-00002C170000}"/>
    <cellStyle name="Red Heading 2 2 11 2" xfId="5964" xr:uid="{00000000-0005-0000-0000-00002D170000}"/>
    <cellStyle name="Red Heading 2 2 12" xfId="5965" xr:uid="{00000000-0005-0000-0000-00002E170000}"/>
    <cellStyle name="Red Heading 2 2 12 2" xfId="5966" xr:uid="{00000000-0005-0000-0000-00002F170000}"/>
    <cellStyle name="Red Heading 2 2 13" xfId="5967" xr:uid="{00000000-0005-0000-0000-000030170000}"/>
    <cellStyle name="Red Heading 2 2 13 2" xfId="5968" xr:uid="{00000000-0005-0000-0000-000031170000}"/>
    <cellStyle name="Red Heading 2 2 14" xfId="5969" xr:uid="{00000000-0005-0000-0000-000032170000}"/>
    <cellStyle name="Red Heading 2 2 14 2" xfId="5970" xr:uid="{00000000-0005-0000-0000-000033170000}"/>
    <cellStyle name="Red Heading 2 2 15" xfId="5971" xr:uid="{00000000-0005-0000-0000-000034170000}"/>
    <cellStyle name="Red Heading 2 2 15 2" xfId="5972" xr:uid="{00000000-0005-0000-0000-000035170000}"/>
    <cellStyle name="Red Heading 2 2 16" xfId="5973" xr:uid="{00000000-0005-0000-0000-000036170000}"/>
    <cellStyle name="Red Heading 2 2 16 2" xfId="5974" xr:uid="{00000000-0005-0000-0000-000037170000}"/>
    <cellStyle name="Red Heading 2 2 17" xfId="5975" xr:uid="{00000000-0005-0000-0000-000038170000}"/>
    <cellStyle name="Red Heading 2 2 2" xfId="5976" xr:uid="{00000000-0005-0000-0000-000039170000}"/>
    <cellStyle name="Red Heading 2 2 2 2" xfId="5977" xr:uid="{00000000-0005-0000-0000-00003A170000}"/>
    <cellStyle name="Red Heading 2 2 2 2 2" xfId="5978" xr:uid="{00000000-0005-0000-0000-00003B170000}"/>
    <cellStyle name="Red Heading 2 2 2 3" xfId="5979" xr:uid="{00000000-0005-0000-0000-00003C170000}"/>
    <cellStyle name="Red Heading 2 2 2 3 2" xfId="5980" xr:uid="{00000000-0005-0000-0000-00003D170000}"/>
    <cellStyle name="Red Heading 2 2 2 4" xfId="5981" xr:uid="{00000000-0005-0000-0000-00003E170000}"/>
    <cellStyle name="Red Heading 2 2 3" xfId="5982" xr:uid="{00000000-0005-0000-0000-00003F170000}"/>
    <cellStyle name="Red Heading 2 2 3 2" xfId="5983" xr:uid="{00000000-0005-0000-0000-000040170000}"/>
    <cellStyle name="Red Heading 2 2 3 2 2" xfId="5984" xr:uid="{00000000-0005-0000-0000-000041170000}"/>
    <cellStyle name="Red Heading 2 2 3 3" xfId="5985" xr:uid="{00000000-0005-0000-0000-000042170000}"/>
    <cellStyle name="Red Heading 2 2 3 3 2" xfId="5986" xr:uid="{00000000-0005-0000-0000-000043170000}"/>
    <cellStyle name="Red Heading 2 2 3 4" xfId="5987" xr:uid="{00000000-0005-0000-0000-000044170000}"/>
    <cellStyle name="Red Heading 2 2 4" xfId="5988" xr:uid="{00000000-0005-0000-0000-000045170000}"/>
    <cellStyle name="Red Heading 2 2 4 2" xfId="5989" xr:uid="{00000000-0005-0000-0000-000046170000}"/>
    <cellStyle name="Red Heading 2 2 5" xfId="5990" xr:uid="{00000000-0005-0000-0000-000047170000}"/>
    <cellStyle name="Red Heading 2 2 5 2" xfId="5991" xr:uid="{00000000-0005-0000-0000-000048170000}"/>
    <cellStyle name="Red Heading 2 2 6" xfId="5992" xr:uid="{00000000-0005-0000-0000-000049170000}"/>
    <cellStyle name="Red Heading 2 2 6 2" xfId="5993" xr:uid="{00000000-0005-0000-0000-00004A170000}"/>
    <cellStyle name="Red Heading 2 2 7" xfId="5994" xr:uid="{00000000-0005-0000-0000-00004B170000}"/>
    <cellStyle name="Red Heading 2 2 7 2" xfId="5995" xr:uid="{00000000-0005-0000-0000-00004C170000}"/>
    <cellStyle name="Red Heading 2 2 8" xfId="5996" xr:uid="{00000000-0005-0000-0000-00004D170000}"/>
    <cellStyle name="Red Heading 2 2 8 2" xfId="5997" xr:uid="{00000000-0005-0000-0000-00004E170000}"/>
    <cellStyle name="Red Heading 2 2 9" xfId="5998" xr:uid="{00000000-0005-0000-0000-00004F170000}"/>
    <cellStyle name="Red Heading 2 2 9 2" xfId="5999" xr:uid="{00000000-0005-0000-0000-000050170000}"/>
    <cellStyle name="Red Heading 2 3" xfId="6000" xr:uid="{00000000-0005-0000-0000-000051170000}"/>
    <cellStyle name="Red Heading 2 3 2" xfId="6001" xr:uid="{00000000-0005-0000-0000-000052170000}"/>
    <cellStyle name="Red Heading 2 3 2 2" xfId="6002" xr:uid="{00000000-0005-0000-0000-000053170000}"/>
    <cellStyle name="Red Heading 2 3 3" xfId="6003" xr:uid="{00000000-0005-0000-0000-000054170000}"/>
    <cellStyle name="Red Heading 2 3 3 2" xfId="6004" xr:uid="{00000000-0005-0000-0000-000055170000}"/>
    <cellStyle name="Red Heading 2 3 4" xfId="6005" xr:uid="{00000000-0005-0000-0000-000056170000}"/>
    <cellStyle name="Red Heading 2 4" xfId="6006" xr:uid="{00000000-0005-0000-0000-000057170000}"/>
    <cellStyle name="Red Heading 2 4 2" xfId="6007" xr:uid="{00000000-0005-0000-0000-000058170000}"/>
    <cellStyle name="Red Heading 2 5" xfId="6008" xr:uid="{00000000-0005-0000-0000-000059170000}"/>
    <cellStyle name="Red Heading 2 5 2" xfId="6009" xr:uid="{00000000-0005-0000-0000-00005A170000}"/>
    <cellStyle name="Red Heading 2 6" xfId="6010" xr:uid="{00000000-0005-0000-0000-00005B170000}"/>
    <cellStyle name="Red Heading 2 6 2" xfId="6011" xr:uid="{00000000-0005-0000-0000-00005C170000}"/>
    <cellStyle name="Red Heading 2 7" xfId="6012" xr:uid="{00000000-0005-0000-0000-00005D170000}"/>
    <cellStyle name="Red Heading 2 7 2" xfId="6013" xr:uid="{00000000-0005-0000-0000-00005E170000}"/>
    <cellStyle name="Red Heading 2 8" xfId="6014" xr:uid="{00000000-0005-0000-0000-00005F170000}"/>
    <cellStyle name="Red Heading 2 8 2" xfId="6015" xr:uid="{00000000-0005-0000-0000-000060170000}"/>
    <cellStyle name="Red Heading 2 9" xfId="6016" xr:uid="{00000000-0005-0000-0000-000061170000}"/>
    <cellStyle name="Red Heading 2 9 2" xfId="6017" xr:uid="{00000000-0005-0000-0000-000062170000}"/>
    <cellStyle name="Red Heading 20" xfId="6018" xr:uid="{00000000-0005-0000-0000-000063170000}"/>
    <cellStyle name="Red Heading 20 2" xfId="6019" xr:uid="{00000000-0005-0000-0000-000064170000}"/>
    <cellStyle name="Red Heading 21" xfId="6020" xr:uid="{00000000-0005-0000-0000-000065170000}"/>
    <cellStyle name="Red Heading 21 2" xfId="6021" xr:uid="{00000000-0005-0000-0000-000066170000}"/>
    <cellStyle name="Red Heading 22" xfId="6022" xr:uid="{00000000-0005-0000-0000-000067170000}"/>
    <cellStyle name="Red Heading 22 2" xfId="6023" xr:uid="{00000000-0005-0000-0000-000068170000}"/>
    <cellStyle name="Red Heading 23" xfId="6024" xr:uid="{00000000-0005-0000-0000-000069170000}"/>
    <cellStyle name="Red Heading 23 2" xfId="6025" xr:uid="{00000000-0005-0000-0000-00006A170000}"/>
    <cellStyle name="Red Heading 24" xfId="6026" xr:uid="{00000000-0005-0000-0000-00006B170000}"/>
    <cellStyle name="Red Heading 24 2" xfId="6027" xr:uid="{00000000-0005-0000-0000-00006C170000}"/>
    <cellStyle name="Red Heading 25" xfId="6028" xr:uid="{00000000-0005-0000-0000-00006D170000}"/>
    <cellStyle name="Red Heading 25 2" xfId="6029" xr:uid="{00000000-0005-0000-0000-00006E170000}"/>
    <cellStyle name="Red Heading 26" xfId="6030" xr:uid="{00000000-0005-0000-0000-00006F170000}"/>
    <cellStyle name="Red Heading 27" xfId="6031" xr:uid="{00000000-0005-0000-0000-000070170000}"/>
    <cellStyle name="Red Heading 3" xfId="6032" xr:uid="{00000000-0005-0000-0000-000071170000}"/>
    <cellStyle name="Red Heading 3 10" xfId="6033" xr:uid="{00000000-0005-0000-0000-000072170000}"/>
    <cellStyle name="Red Heading 3 10 2" xfId="6034" xr:uid="{00000000-0005-0000-0000-000073170000}"/>
    <cellStyle name="Red Heading 3 11" xfId="6035" xr:uid="{00000000-0005-0000-0000-000074170000}"/>
    <cellStyle name="Red Heading 3 11 2" xfId="6036" xr:uid="{00000000-0005-0000-0000-000075170000}"/>
    <cellStyle name="Red Heading 3 12" xfId="6037" xr:uid="{00000000-0005-0000-0000-000076170000}"/>
    <cellStyle name="Red Heading 3 12 2" xfId="6038" xr:uid="{00000000-0005-0000-0000-000077170000}"/>
    <cellStyle name="Red Heading 3 13" xfId="6039" xr:uid="{00000000-0005-0000-0000-000078170000}"/>
    <cellStyle name="Red Heading 3 13 2" xfId="6040" xr:uid="{00000000-0005-0000-0000-000079170000}"/>
    <cellStyle name="Red Heading 3 14" xfId="6041" xr:uid="{00000000-0005-0000-0000-00007A170000}"/>
    <cellStyle name="Red Heading 3 14 2" xfId="6042" xr:uid="{00000000-0005-0000-0000-00007B170000}"/>
    <cellStyle name="Red Heading 3 15" xfId="6043" xr:uid="{00000000-0005-0000-0000-00007C170000}"/>
    <cellStyle name="Red Heading 3 15 2" xfId="6044" xr:uid="{00000000-0005-0000-0000-00007D170000}"/>
    <cellStyle name="Red Heading 3 16" xfId="6045" xr:uid="{00000000-0005-0000-0000-00007E170000}"/>
    <cellStyle name="Red Heading 3 16 2" xfId="6046" xr:uid="{00000000-0005-0000-0000-00007F170000}"/>
    <cellStyle name="Red Heading 3 2" xfId="6047" xr:uid="{00000000-0005-0000-0000-000080170000}"/>
    <cellStyle name="Red Heading 3 2 10" xfId="6048" xr:uid="{00000000-0005-0000-0000-000081170000}"/>
    <cellStyle name="Red Heading 3 2 10 2" xfId="6049" xr:uid="{00000000-0005-0000-0000-000082170000}"/>
    <cellStyle name="Red Heading 3 2 11" xfId="6050" xr:uid="{00000000-0005-0000-0000-000083170000}"/>
    <cellStyle name="Red Heading 3 2 11 2" xfId="6051" xr:uid="{00000000-0005-0000-0000-000084170000}"/>
    <cellStyle name="Red Heading 3 2 12" xfId="6052" xr:uid="{00000000-0005-0000-0000-000085170000}"/>
    <cellStyle name="Red Heading 3 2 12 2" xfId="6053" xr:uid="{00000000-0005-0000-0000-000086170000}"/>
    <cellStyle name="Red Heading 3 2 13" xfId="6054" xr:uid="{00000000-0005-0000-0000-000087170000}"/>
    <cellStyle name="Red Heading 3 2 13 2" xfId="6055" xr:uid="{00000000-0005-0000-0000-000088170000}"/>
    <cellStyle name="Red Heading 3 2 14" xfId="6056" xr:uid="{00000000-0005-0000-0000-000089170000}"/>
    <cellStyle name="Red Heading 3 2 14 2" xfId="6057" xr:uid="{00000000-0005-0000-0000-00008A170000}"/>
    <cellStyle name="Red Heading 3 2 15" xfId="6058" xr:uid="{00000000-0005-0000-0000-00008B170000}"/>
    <cellStyle name="Red Heading 3 2 15 2" xfId="6059" xr:uid="{00000000-0005-0000-0000-00008C170000}"/>
    <cellStyle name="Red Heading 3 2 16" xfId="6060" xr:uid="{00000000-0005-0000-0000-00008D170000}"/>
    <cellStyle name="Red Heading 3 2 16 2" xfId="6061" xr:uid="{00000000-0005-0000-0000-00008E170000}"/>
    <cellStyle name="Red Heading 3 2 17" xfId="6062" xr:uid="{00000000-0005-0000-0000-00008F170000}"/>
    <cellStyle name="Red Heading 3 2 2" xfId="6063" xr:uid="{00000000-0005-0000-0000-000090170000}"/>
    <cellStyle name="Red Heading 3 2 2 2" xfId="6064" xr:uid="{00000000-0005-0000-0000-000091170000}"/>
    <cellStyle name="Red Heading 3 2 2 2 2" xfId="6065" xr:uid="{00000000-0005-0000-0000-000092170000}"/>
    <cellStyle name="Red Heading 3 2 2 3" xfId="6066" xr:uid="{00000000-0005-0000-0000-000093170000}"/>
    <cellStyle name="Red Heading 3 2 2 3 2" xfId="6067" xr:uid="{00000000-0005-0000-0000-000094170000}"/>
    <cellStyle name="Red Heading 3 2 2 4" xfId="6068" xr:uid="{00000000-0005-0000-0000-000095170000}"/>
    <cellStyle name="Red Heading 3 2 3" xfId="6069" xr:uid="{00000000-0005-0000-0000-000096170000}"/>
    <cellStyle name="Red Heading 3 2 3 2" xfId="6070" xr:uid="{00000000-0005-0000-0000-000097170000}"/>
    <cellStyle name="Red Heading 3 2 3 2 2" xfId="6071" xr:uid="{00000000-0005-0000-0000-000098170000}"/>
    <cellStyle name="Red Heading 3 2 3 3" xfId="6072" xr:uid="{00000000-0005-0000-0000-000099170000}"/>
    <cellStyle name="Red Heading 3 2 3 3 2" xfId="6073" xr:uid="{00000000-0005-0000-0000-00009A170000}"/>
    <cellStyle name="Red Heading 3 2 3 4" xfId="6074" xr:uid="{00000000-0005-0000-0000-00009B170000}"/>
    <cellStyle name="Red Heading 3 2 4" xfId="6075" xr:uid="{00000000-0005-0000-0000-00009C170000}"/>
    <cellStyle name="Red Heading 3 2 4 2" xfId="6076" xr:uid="{00000000-0005-0000-0000-00009D170000}"/>
    <cellStyle name="Red Heading 3 2 5" xfId="6077" xr:uid="{00000000-0005-0000-0000-00009E170000}"/>
    <cellStyle name="Red Heading 3 2 5 2" xfId="6078" xr:uid="{00000000-0005-0000-0000-00009F170000}"/>
    <cellStyle name="Red Heading 3 2 6" xfId="6079" xr:uid="{00000000-0005-0000-0000-0000A0170000}"/>
    <cellStyle name="Red Heading 3 2 6 2" xfId="6080" xr:uid="{00000000-0005-0000-0000-0000A1170000}"/>
    <cellStyle name="Red Heading 3 2 7" xfId="6081" xr:uid="{00000000-0005-0000-0000-0000A2170000}"/>
    <cellStyle name="Red Heading 3 2 7 2" xfId="6082" xr:uid="{00000000-0005-0000-0000-0000A3170000}"/>
    <cellStyle name="Red Heading 3 2 8" xfId="6083" xr:uid="{00000000-0005-0000-0000-0000A4170000}"/>
    <cellStyle name="Red Heading 3 2 8 2" xfId="6084" xr:uid="{00000000-0005-0000-0000-0000A5170000}"/>
    <cellStyle name="Red Heading 3 2 9" xfId="6085" xr:uid="{00000000-0005-0000-0000-0000A6170000}"/>
    <cellStyle name="Red Heading 3 2 9 2" xfId="6086" xr:uid="{00000000-0005-0000-0000-0000A7170000}"/>
    <cellStyle name="Red Heading 3 3" xfId="6087" xr:uid="{00000000-0005-0000-0000-0000A8170000}"/>
    <cellStyle name="Red Heading 3 3 2" xfId="6088" xr:uid="{00000000-0005-0000-0000-0000A9170000}"/>
    <cellStyle name="Red Heading 3 3 2 2" xfId="6089" xr:uid="{00000000-0005-0000-0000-0000AA170000}"/>
    <cellStyle name="Red Heading 3 3 3" xfId="6090" xr:uid="{00000000-0005-0000-0000-0000AB170000}"/>
    <cellStyle name="Red Heading 3 3 3 2" xfId="6091" xr:uid="{00000000-0005-0000-0000-0000AC170000}"/>
    <cellStyle name="Red Heading 3 3 4" xfId="6092" xr:uid="{00000000-0005-0000-0000-0000AD170000}"/>
    <cellStyle name="Red Heading 3 4" xfId="6093" xr:uid="{00000000-0005-0000-0000-0000AE170000}"/>
    <cellStyle name="Red Heading 3 4 2" xfId="6094" xr:uid="{00000000-0005-0000-0000-0000AF170000}"/>
    <cellStyle name="Red Heading 3 5" xfId="6095" xr:uid="{00000000-0005-0000-0000-0000B0170000}"/>
    <cellStyle name="Red Heading 3 5 2" xfId="6096" xr:uid="{00000000-0005-0000-0000-0000B1170000}"/>
    <cellStyle name="Red Heading 3 6" xfId="6097" xr:uid="{00000000-0005-0000-0000-0000B2170000}"/>
    <cellStyle name="Red Heading 3 6 2" xfId="6098" xr:uid="{00000000-0005-0000-0000-0000B3170000}"/>
    <cellStyle name="Red Heading 3 7" xfId="6099" xr:uid="{00000000-0005-0000-0000-0000B4170000}"/>
    <cellStyle name="Red Heading 3 7 2" xfId="6100" xr:uid="{00000000-0005-0000-0000-0000B5170000}"/>
    <cellStyle name="Red Heading 3 8" xfId="6101" xr:uid="{00000000-0005-0000-0000-0000B6170000}"/>
    <cellStyle name="Red Heading 3 8 2" xfId="6102" xr:uid="{00000000-0005-0000-0000-0000B7170000}"/>
    <cellStyle name="Red Heading 3 9" xfId="6103" xr:uid="{00000000-0005-0000-0000-0000B8170000}"/>
    <cellStyle name="Red Heading 3 9 2" xfId="6104" xr:uid="{00000000-0005-0000-0000-0000B9170000}"/>
    <cellStyle name="Red Heading 4" xfId="6105" xr:uid="{00000000-0005-0000-0000-0000BA170000}"/>
    <cellStyle name="Red Heading 4 10" xfId="6106" xr:uid="{00000000-0005-0000-0000-0000BB170000}"/>
    <cellStyle name="Red Heading 4 10 2" xfId="6107" xr:uid="{00000000-0005-0000-0000-0000BC170000}"/>
    <cellStyle name="Red Heading 4 11" xfId="6108" xr:uid="{00000000-0005-0000-0000-0000BD170000}"/>
    <cellStyle name="Red Heading 4 11 2" xfId="6109" xr:uid="{00000000-0005-0000-0000-0000BE170000}"/>
    <cellStyle name="Red Heading 4 12" xfId="6110" xr:uid="{00000000-0005-0000-0000-0000BF170000}"/>
    <cellStyle name="Red Heading 4 12 2" xfId="6111" xr:uid="{00000000-0005-0000-0000-0000C0170000}"/>
    <cellStyle name="Red Heading 4 13" xfId="6112" xr:uid="{00000000-0005-0000-0000-0000C1170000}"/>
    <cellStyle name="Red Heading 4 13 2" xfId="6113" xr:uid="{00000000-0005-0000-0000-0000C2170000}"/>
    <cellStyle name="Red Heading 4 14" xfId="6114" xr:uid="{00000000-0005-0000-0000-0000C3170000}"/>
    <cellStyle name="Red Heading 4 14 2" xfId="6115" xr:uid="{00000000-0005-0000-0000-0000C4170000}"/>
    <cellStyle name="Red Heading 4 15" xfId="6116" xr:uid="{00000000-0005-0000-0000-0000C5170000}"/>
    <cellStyle name="Red Heading 4 15 2" xfId="6117" xr:uid="{00000000-0005-0000-0000-0000C6170000}"/>
    <cellStyle name="Red Heading 4 16" xfId="6118" xr:uid="{00000000-0005-0000-0000-0000C7170000}"/>
    <cellStyle name="Red Heading 4 16 2" xfId="6119" xr:uid="{00000000-0005-0000-0000-0000C8170000}"/>
    <cellStyle name="Red Heading 4 2" xfId="6120" xr:uid="{00000000-0005-0000-0000-0000C9170000}"/>
    <cellStyle name="Red Heading 4 2 10" xfId="6121" xr:uid="{00000000-0005-0000-0000-0000CA170000}"/>
    <cellStyle name="Red Heading 4 2 10 2" xfId="6122" xr:uid="{00000000-0005-0000-0000-0000CB170000}"/>
    <cellStyle name="Red Heading 4 2 11" xfId="6123" xr:uid="{00000000-0005-0000-0000-0000CC170000}"/>
    <cellStyle name="Red Heading 4 2 11 2" xfId="6124" xr:uid="{00000000-0005-0000-0000-0000CD170000}"/>
    <cellStyle name="Red Heading 4 2 12" xfId="6125" xr:uid="{00000000-0005-0000-0000-0000CE170000}"/>
    <cellStyle name="Red Heading 4 2 12 2" xfId="6126" xr:uid="{00000000-0005-0000-0000-0000CF170000}"/>
    <cellStyle name="Red Heading 4 2 13" xfId="6127" xr:uid="{00000000-0005-0000-0000-0000D0170000}"/>
    <cellStyle name="Red Heading 4 2 13 2" xfId="6128" xr:uid="{00000000-0005-0000-0000-0000D1170000}"/>
    <cellStyle name="Red Heading 4 2 14" xfId="6129" xr:uid="{00000000-0005-0000-0000-0000D2170000}"/>
    <cellStyle name="Red Heading 4 2 14 2" xfId="6130" xr:uid="{00000000-0005-0000-0000-0000D3170000}"/>
    <cellStyle name="Red Heading 4 2 15" xfId="6131" xr:uid="{00000000-0005-0000-0000-0000D4170000}"/>
    <cellStyle name="Red Heading 4 2 15 2" xfId="6132" xr:uid="{00000000-0005-0000-0000-0000D5170000}"/>
    <cellStyle name="Red Heading 4 2 16" xfId="6133" xr:uid="{00000000-0005-0000-0000-0000D6170000}"/>
    <cellStyle name="Red Heading 4 2 16 2" xfId="6134" xr:uid="{00000000-0005-0000-0000-0000D7170000}"/>
    <cellStyle name="Red Heading 4 2 17" xfId="6135" xr:uid="{00000000-0005-0000-0000-0000D8170000}"/>
    <cellStyle name="Red Heading 4 2 2" xfId="6136" xr:uid="{00000000-0005-0000-0000-0000D9170000}"/>
    <cellStyle name="Red Heading 4 2 2 2" xfId="6137" xr:uid="{00000000-0005-0000-0000-0000DA170000}"/>
    <cellStyle name="Red Heading 4 2 2 2 2" xfId="6138" xr:uid="{00000000-0005-0000-0000-0000DB170000}"/>
    <cellStyle name="Red Heading 4 2 2 3" xfId="6139" xr:uid="{00000000-0005-0000-0000-0000DC170000}"/>
    <cellStyle name="Red Heading 4 2 2 3 2" xfId="6140" xr:uid="{00000000-0005-0000-0000-0000DD170000}"/>
    <cellStyle name="Red Heading 4 2 2 4" xfId="6141" xr:uid="{00000000-0005-0000-0000-0000DE170000}"/>
    <cellStyle name="Red Heading 4 2 3" xfId="6142" xr:uid="{00000000-0005-0000-0000-0000DF170000}"/>
    <cellStyle name="Red Heading 4 2 3 2" xfId="6143" xr:uid="{00000000-0005-0000-0000-0000E0170000}"/>
    <cellStyle name="Red Heading 4 2 3 2 2" xfId="6144" xr:uid="{00000000-0005-0000-0000-0000E1170000}"/>
    <cellStyle name="Red Heading 4 2 3 3" xfId="6145" xr:uid="{00000000-0005-0000-0000-0000E2170000}"/>
    <cellStyle name="Red Heading 4 2 3 3 2" xfId="6146" xr:uid="{00000000-0005-0000-0000-0000E3170000}"/>
    <cellStyle name="Red Heading 4 2 3 4" xfId="6147" xr:uid="{00000000-0005-0000-0000-0000E4170000}"/>
    <cellStyle name="Red Heading 4 2 4" xfId="6148" xr:uid="{00000000-0005-0000-0000-0000E5170000}"/>
    <cellStyle name="Red Heading 4 2 4 2" xfId="6149" xr:uid="{00000000-0005-0000-0000-0000E6170000}"/>
    <cellStyle name="Red Heading 4 2 5" xfId="6150" xr:uid="{00000000-0005-0000-0000-0000E7170000}"/>
    <cellStyle name="Red Heading 4 2 5 2" xfId="6151" xr:uid="{00000000-0005-0000-0000-0000E8170000}"/>
    <cellStyle name="Red Heading 4 2 6" xfId="6152" xr:uid="{00000000-0005-0000-0000-0000E9170000}"/>
    <cellStyle name="Red Heading 4 2 6 2" xfId="6153" xr:uid="{00000000-0005-0000-0000-0000EA170000}"/>
    <cellStyle name="Red Heading 4 2 7" xfId="6154" xr:uid="{00000000-0005-0000-0000-0000EB170000}"/>
    <cellStyle name="Red Heading 4 2 7 2" xfId="6155" xr:uid="{00000000-0005-0000-0000-0000EC170000}"/>
    <cellStyle name="Red Heading 4 2 8" xfId="6156" xr:uid="{00000000-0005-0000-0000-0000ED170000}"/>
    <cellStyle name="Red Heading 4 2 8 2" xfId="6157" xr:uid="{00000000-0005-0000-0000-0000EE170000}"/>
    <cellStyle name="Red Heading 4 2 9" xfId="6158" xr:uid="{00000000-0005-0000-0000-0000EF170000}"/>
    <cellStyle name="Red Heading 4 2 9 2" xfId="6159" xr:uid="{00000000-0005-0000-0000-0000F0170000}"/>
    <cellStyle name="Red Heading 4 3" xfId="6160" xr:uid="{00000000-0005-0000-0000-0000F1170000}"/>
    <cellStyle name="Red Heading 4 3 2" xfId="6161" xr:uid="{00000000-0005-0000-0000-0000F2170000}"/>
    <cellStyle name="Red Heading 4 3 2 2" xfId="6162" xr:uid="{00000000-0005-0000-0000-0000F3170000}"/>
    <cellStyle name="Red Heading 4 3 3" xfId="6163" xr:uid="{00000000-0005-0000-0000-0000F4170000}"/>
    <cellStyle name="Red Heading 4 3 3 2" xfId="6164" xr:uid="{00000000-0005-0000-0000-0000F5170000}"/>
    <cellStyle name="Red Heading 4 3 4" xfId="6165" xr:uid="{00000000-0005-0000-0000-0000F6170000}"/>
    <cellStyle name="Red Heading 4 4" xfId="6166" xr:uid="{00000000-0005-0000-0000-0000F7170000}"/>
    <cellStyle name="Red Heading 4 4 2" xfId="6167" xr:uid="{00000000-0005-0000-0000-0000F8170000}"/>
    <cellStyle name="Red Heading 4 5" xfId="6168" xr:uid="{00000000-0005-0000-0000-0000F9170000}"/>
    <cellStyle name="Red Heading 4 5 2" xfId="6169" xr:uid="{00000000-0005-0000-0000-0000FA170000}"/>
    <cellStyle name="Red Heading 4 6" xfId="6170" xr:uid="{00000000-0005-0000-0000-0000FB170000}"/>
    <cellStyle name="Red Heading 4 6 2" xfId="6171" xr:uid="{00000000-0005-0000-0000-0000FC170000}"/>
    <cellStyle name="Red Heading 4 7" xfId="6172" xr:uid="{00000000-0005-0000-0000-0000FD170000}"/>
    <cellStyle name="Red Heading 4 7 2" xfId="6173" xr:uid="{00000000-0005-0000-0000-0000FE170000}"/>
    <cellStyle name="Red Heading 4 8" xfId="6174" xr:uid="{00000000-0005-0000-0000-0000FF170000}"/>
    <cellStyle name="Red Heading 4 8 2" xfId="6175" xr:uid="{00000000-0005-0000-0000-000000180000}"/>
    <cellStyle name="Red Heading 4 9" xfId="6176" xr:uid="{00000000-0005-0000-0000-000001180000}"/>
    <cellStyle name="Red Heading 4 9 2" xfId="6177" xr:uid="{00000000-0005-0000-0000-000002180000}"/>
    <cellStyle name="Red Heading 5" xfId="6178" xr:uid="{00000000-0005-0000-0000-000003180000}"/>
    <cellStyle name="Red Heading 5 10" xfId="6179" xr:uid="{00000000-0005-0000-0000-000004180000}"/>
    <cellStyle name="Red Heading 5 10 2" xfId="6180" xr:uid="{00000000-0005-0000-0000-000005180000}"/>
    <cellStyle name="Red Heading 5 11" xfId="6181" xr:uid="{00000000-0005-0000-0000-000006180000}"/>
    <cellStyle name="Red Heading 5 11 2" xfId="6182" xr:uid="{00000000-0005-0000-0000-000007180000}"/>
    <cellStyle name="Red Heading 5 12" xfId="6183" xr:uid="{00000000-0005-0000-0000-000008180000}"/>
    <cellStyle name="Red Heading 5 12 2" xfId="6184" xr:uid="{00000000-0005-0000-0000-000009180000}"/>
    <cellStyle name="Red Heading 5 13" xfId="6185" xr:uid="{00000000-0005-0000-0000-00000A180000}"/>
    <cellStyle name="Red Heading 5 13 2" xfId="6186" xr:uid="{00000000-0005-0000-0000-00000B180000}"/>
    <cellStyle name="Red Heading 5 14" xfId="6187" xr:uid="{00000000-0005-0000-0000-00000C180000}"/>
    <cellStyle name="Red Heading 5 14 2" xfId="6188" xr:uid="{00000000-0005-0000-0000-00000D180000}"/>
    <cellStyle name="Red Heading 5 15" xfId="6189" xr:uid="{00000000-0005-0000-0000-00000E180000}"/>
    <cellStyle name="Red Heading 5 15 2" xfId="6190" xr:uid="{00000000-0005-0000-0000-00000F180000}"/>
    <cellStyle name="Red Heading 5 16" xfId="6191" xr:uid="{00000000-0005-0000-0000-000010180000}"/>
    <cellStyle name="Red Heading 5 16 2" xfId="6192" xr:uid="{00000000-0005-0000-0000-000011180000}"/>
    <cellStyle name="Red Heading 5 17" xfId="6193" xr:uid="{00000000-0005-0000-0000-000012180000}"/>
    <cellStyle name="Red Heading 5 2" xfId="6194" xr:uid="{00000000-0005-0000-0000-000013180000}"/>
    <cellStyle name="Red Heading 5 2 10" xfId="6195" xr:uid="{00000000-0005-0000-0000-000014180000}"/>
    <cellStyle name="Red Heading 5 2 10 2" xfId="6196" xr:uid="{00000000-0005-0000-0000-000015180000}"/>
    <cellStyle name="Red Heading 5 2 11" xfId="6197" xr:uid="{00000000-0005-0000-0000-000016180000}"/>
    <cellStyle name="Red Heading 5 2 11 2" xfId="6198" xr:uid="{00000000-0005-0000-0000-000017180000}"/>
    <cellStyle name="Red Heading 5 2 12" xfId="6199" xr:uid="{00000000-0005-0000-0000-000018180000}"/>
    <cellStyle name="Red Heading 5 2 12 2" xfId="6200" xr:uid="{00000000-0005-0000-0000-000019180000}"/>
    <cellStyle name="Red Heading 5 2 13" xfId="6201" xr:uid="{00000000-0005-0000-0000-00001A180000}"/>
    <cellStyle name="Red Heading 5 2 13 2" xfId="6202" xr:uid="{00000000-0005-0000-0000-00001B180000}"/>
    <cellStyle name="Red Heading 5 2 14" xfId="6203" xr:uid="{00000000-0005-0000-0000-00001C180000}"/>
    <cellStyle name="Red Heading 5 2 14 2" xfId="6204" xr:uid="{00000000-0005-0000-0000-00001D180000}"/>
    <cellStyle name="Red Heading 5 2 15" xfId="6205" xr:uid="{00000000-0005-0000-0000-00001E180000}"/>
    <cellStyle name="Red Heading 5 2 2" xfId="6206" xr:uid="{00000000-0005-0000-0000-00001F180000}"/>
    <cellStyle name="Red Heading 5 2 2 2" xfId="6207" xr:uid="{00000000-0005-0000-0000-000020180000}"/>
    <cellStyle name="Red Heading 5 2 3" xfId="6208" xr:uid="{00000000-0005-0000-0000-000021180000}"/>
    <cellStyle name="Red Heading 5 2 3 2" xfId="6209" xr:uid="{00000000-0005-0000-0000-000022180000}"/>
    <cellStyle name="Red Heading 5 2 4" xfId="6210" xr:uid="{00000000-0005-0000-0000-000023180000}"/>
    <cellStyle name="Red Heading 5 2 4 2" xfId="6211" xr:uid="{00000000-0005-0000-0000-000024180000}"/>
    <cellStyle name="Red Heading 5 2 5" xfId="6212" xr:uid="{00000000-0005-0000-0000-000025180000}"/>
    <cellStyle name="Red Heading 5 2 5 2" xfId="6213" xr:uid="{00000000-0005-0000-0000-000026180000}"/>
    <cellStyle name="Red Heading 5 2 6" xfId="6214" xr:uid="{00000000-0005-0000-0000-000027180000}"/>
    <cellStyle name="Red Heading 5 2 6 2" xfId="6215" xr:uid="{00000000-0005-0000-0000-000028180000}"/>
    <cellStyle name="Red Heading 5 2 7" xfId="6216" xr:uid="{00000000-0005-0000-0000-000029180000}"/>
    <cellStyle name="Red Heading 5 2 7 2" xfId="6217" xr:uid="{00000000-0005-0000-0000-00002A180000}"/>
    <cellStyle name="Red Heading 5 2 8" xfId="6218" xr:uid="{00000000-0005-0000-0000-00002B180000}"/>
    <cellStyle name="Red Heading 5 2 8 2" xfId="6219" xr:uid="{00000000-0005-0000-0000-00002C180000}"/>
    <cellStyle name="Red Heading 5 2 9" xfId="6220" xr:uid="{00000000-0005-0000-0000-00002D180000}"/>
    <cellStyle name="Red Heading 5 2 9 2" xfId="6221" xr:uid="{00000000-0005-0000-0000-00002E180000}"/>
    <cellStyle name="Red Heading 5 3" xfId="6222" xr:uid="{00000000-0005-0000-0000-00002F180000}"/>
    <cellStyle name="Red Heading 5 3 2" xfId="6223" xr:uid="{00000000-0005-0000-0000-000030180000}"/>
    <cellStyle name="Red Heading 5 3 2 2" xfId="6224" xr:uid="{00000000-0005-0000-0000-000031180000}"/>
    <cellStyle name="Red Heading 5 3 3" xfId="6225" xr:uid="{00000000-0005-0000-0000-000032180000}"/>
    <cellStyle name="Red Heading 5 3 3 2" xfId="6226" xr:uid="{00000000-0005-0000-0000-000033180000}"/>
    <cellStyle name="Red Heading 5 3 4" xfId="6227" xr:uid="{00000000-0005-0000-0000-000034180000}"/>
    <cellStyle name="Red Heading 5 4" xfId="6228" xr:uid="{00000000-0005-0000-0000-000035180000}"/>
    <cellStyle name="Red Heading 5 4 2" xfId="6229" xr:uid="{00000000-0005-0000-0000-000036180000}"/>
    <cellStyle name="Red Heading 5 5" xfId="6230" xr:uid="{00000000-0005-0000-0000-000037180000}"/>
    <cellStyle name="Red Heading 5 5 2" xfId="6231" xr:uid="{00000000-0005-0000-0000-000038180000}"/>
    <cellStyle name="Red Heading 5 6" xfId="6232" xr:uid="{00000000-0005-0000-0000-000039180000}"/>
    <cellStyle name="Red Heading 5 6 2" xfId="6233" xr:uid="{00000000-0005-0000-0000-00003A180000}"/>
    <cellStyle name="Red Heading 5 7" xfId="6234" xr:uid="{00000000-0005-0000-0000-00003B180000}"/>
    <cellStyle name="Red Heading 5 7 2" xfId="6235" xr:uid="{00000000-0005-0000-0000-00003C180000}"/>
    <cellStyle name="Red Heading 5 8" xfId="6236" xr:uid="{00000000-0005-0000-0000-00003D180000}"/>
    <cellStyle name="Red Heading 5 8 2" xfId="6237" xr:uid="{00000000-0005-0000-0000-00003E180000}"/>
    <cellStyle name="Red Heading 5 9" xfId="6238" xr:uid="{00000000-0005-0000-0000-00003F180000}"/>
    <cellStyle name="Red Heading 5 9 2" xfId="6239" xr:uid="{00000000-0005-0000-0000-000040180000}"/>
    <cellStyle name="Red Heading 6" xfId="6240" xr:uid="{00000000-0005-0000-0000-000041180000}"/>
    <cellStyle name="Red Heading 6 10" xfId="6241" xr:uid="{00000000-0005-0000-0000-000042180000}"/>
    <cellStyle name="Red Heading 6 10 2" xfId="6242" xr:uid="{00000000-0005-0000-0000-000043180000}"/>
    <cellStyle name="Red Heading 6 11" xfId="6243" xr:uid="{00000000-0005-0000-0000-000044180000}"/>
    <cellStyle name="Red Heading 6 11 2" xfId="6244" xr:uid="{00000000-0005-0000-0000-000045180000}"/>
    <cellStyle name="Red Heading 6 12" xfId="6245" xr:uid="{00000000-0005-0000-0000-000046180000}"/>
    <cellStyle name="Red Heading 6 12 2" xfId="6246" xr:uid="{00000000-0005-0000-0000-000047180000}"/>
    <cellStyle name="Red Heading 6 13" xfId="6247" xr:uid="{00000000-0005-0000-0000-000048180000}"/>
    <cellStyle name="Red Heading 6 13 2" xfId="6248" xr:uid="{00000000-0005-0000-0000-000049180000}"/>
    <cellStyle name="Red Heading 6 14" xfId="6249" xr:uid="{00000000-0005-0000-0000-00004A180000}"/>
    <cellStyle name="Red Heading 6 14 2" xfId="6250" xr:uid="{00000000-0005-0000-0000-00004B180000}"/>
    <cellStyle name="Red Heading 6 15" xfId="6251" xr:uid="{00000000-0005-0000-0000-00004C180000}"/>
    <cellStyle name="Red Heading 6 15 2" xfId="6252" xr:uid="{00000000-0005-0000-0000-00004D180000}"/>
    <cellStyle name="Red Heading 6 16" xfId="6253" xr:uid="{00000000-0005-0000-0000-00004E180000}"/>
    <cellStyle name="Red Heading 6 16 2" xfId="6254" xr:uid="{00000000-0005-0000-0000-00004F180000}"/>
    <cellStyle name="Red Heading 6 17" xfId="6255" xr:uid="{00000000-0005-0000-0000-000050180000}"/>
    <cellStyle name="Red Heading 6 2" xfId="6256" xr:uid="{00000000-0005-0000-0000-000051180000}"/>
    <cellStyle name="Red Heading 6 2 10" xfId="6257" xr:uid="{00000000-0005-0000-0000-000052180000}"/>
    <cellStyle name="Red Heading 6 2 10 2" xfId="6258" xr:uid="{00000000-0005-0000-0000-000053180000}"/>
    <cellStyle name="Red Heading 6 2 11" xfId="6259" xr:uid="{00000000-0005-0000-0000-000054180000}"/>
    <cellStyle name="Red Heading 6 2 11 2" xfId="6260" xr:uid="{00000000-0005-0000-0000-000055180000}"/>
    <cellStyle name="Red Heading 6 2 12" xfId="6261" xr:uid="{00000000-0005-0000-0000-000056180000}"/>
    <cellStyle name="Red Heading 6 2 12 2" xfId="6262" xr:uid="{00000000-0005-0000-0000-000057180000}"/>
    <cellStyle name="Red Heading 6 2 13" xfId="6263" xr:uid="{00000000-0005-0000-0000-000058180000}"/>
    <cellStyle name="Red Heading 6 2 13 2" xfId="6264" xr:uid="{00000000-0005-0000-0000-000059180000}"/>
    <cellStyle name="Red Heading 6 2 14" xfId="6265" xr:uid="{00000000-0005-0000-0000-00005A180000}"/>
    <cellStyle name="Red Heading 6 2 14 2" xfId="6266" xr:uid="{00000000-0005-0000-0000-00005B180000}"/>
    <cellStyle name="Red Heading 6 2 15" xfId="6267" xr:uid="{00000000-0005-0000-0000-00005C180000}"/>
    <cellStyle name="Red Heading 6 2 2" xfId="6268" xr:uid="{00000000-0005-0000-0000-00005D180000}"/>
    <cellStyle name="Red Heading 6 2 2 2" xfId="6269" xr:uid="{00000000-0005-0000-0000-00005E180000}"/>
    <cellStyle name="Red Heading 6 2 3" xfId="6270" xr:uid="{00000000-0005-0000-0000-00005F180000}"/>
    <cellStyle name="Red Heading 6 2 3 2" xfId="6271" xr:uid="{00000000-0005-0000-0000-000060180000}"/>
    <cellStyle name="Red Heading 6 2 4" xfId="6272" xr:uid="{00000000-0005-0000-0000-000061180000}"/>
    <cellStyle name="Red Heading 6 2 4 2" xfId="6273" xr:uid="{00000000-0005-0000-0000-000062180000}"/>
    <cellStyle name="Red Heading 6 2 5" xfId="6274" xr:uid="{00000000-0005-0000-0000-000063180000}"/>
    <cellStyle name="Red Heading 6 2 5 2" xfId="6275" xr:uid="{00000000-0005-0000-0000-000064180000}"/>
    <cellStyle name="Red Heading 6 2 6" xfId="6276" xr:uid="{00000000-0005-0000-0000-000065180000}"/>
    <cellStyle name="Red Heading 6 2 6 2" xfId="6277" xr:uid="{00000000-0005-0000-0000-000066180000}"/>
    <cellStyle name="Red Heading 6 2 7" xfId="6278" xr:uid="{00000000-0005-0000-0000-000067180000}"/>
    <cellStyle name="Red Heading 6 2 7 2" xfId="6279" xr:uid="{00000000-0005-0000-0000-000068180000}"/>
    <cellStyle name="Red Heading 6 2 8" xfId="6280" xr:uid="{00000000-0005-0000-0000-000069180000}"/>
    <cellStyle name="Red Heading 6 2 8 2" xfId="6281" xr:uid="{00000000-0005-0000-0000-00006A180000}"/>
    <cellStyle name="Red Heading 6 2 9" xfId="6282" xr:uid="{00000000-0005-0000-0000-00006B180000}"/>
    <cellStyle name="Red Heading 6 2 9 2" xfId="6283" xr:uid="{00000000-0005-0000-0000-00006C180000}"/>
    <cellStyle name="Red Heading 6 3" xfId="6284" xr:uid="{00000000-0005-0000-0000-00006D180000}"/>
    <cellStyle name="Red Heading 6 3 2" xfId="6285" xr:uid="{00000000-0005-0000-0000-00006E180000}"/>
    <cellStyle name="Red Heading 6 3 2 2" xfId="6286" xr:uid="{00000000-0005-0000-0000-00006F180000}"/>
    <cellStyle name="Red Heading 6 3 3" xfId="6287" xr:uid="{00000000-0005-0000-0000-000070180000}"/>
    <cellStyle name="Red Heading 6 3 3 2" xfId="6288" xr:uid="{00000000-0005-0000-0000-000071180000}"/>
    <cellStyle name="Red Heading 6 3 4" xfId="6289" xr:uid="{00000000-0005-0000-0000-000072180000}"/>
    <cellStyle name="Red Heading 6 4" xfId="6290" xr:uid="{00000000-0005-0000-0000-000073180000}"/>
    <cellStyle name="Red Heading 6 4 2" xfId="6291" xr:uid="{00000000-0005-0000-0000-000074180000}"/>
    <cellStyle name="Red Heading 6 5" xfId="6292" xr:uid="{00000000-0005-0000-0000-000075180000}"/>
    <cellStyle name="Red Heading 6 5 2" xfId="6293" xr:uid="{00000000-0005-0000-0000-000076180000}"/>
    <cellStyle name="Red Heading 6 6" xfId="6294" xr:uid="{00000000-0005-0000-0000-000077180000}"/>
    <cellStyle name="Red Heading 6 6 2" xfId="6295" xr:uid="{00000000-0005-0000-0000-000078180000}"/>
    <cellStyle name="Red Heading 6 7" xfId="6296" xr:uid="{00000000-0005-0000-0000-000079180000}"/>
    <cellStyle name="Red Heading 6 7 2" xfId="6297" xr:uid="{00000000-0005-0000-0000-00007A180000}"/>
    <cellStyle name="Red Heading 6 8" xfId="6298" xr:uid="{00000000-0005-0000-0000-00007B180000}"/>
    <cellStyle name="Red Heading 6 8 2" xfId="6299" xr:uid="{00000000-0005-0000-0000-00007C180000}"/>
    <cellStyle name="Red Heading 6 9" xfId="6300" xr:uid="{00000000-0005-0000-0000-00007D180000}"/>
    <cellStyle name="Red Heading 6 9 2" xfId="6301" xr:uid="{00000000-0005-0000-0000-00007E180000}"/>
    <cellStyle name="Red Heading 7" xfId="6302" xr:uid="{00000000-0005-0000-0000-00007F180000}"/>
    <cellStyle name="Red Heading 7 10" xfId="6303" xr:uid="{00000000-0005-0000-0000-000080180000}"/>
    <cellStyle name="Red Heading 7 10 2" xfId="6304" xr:uid="{00000000-0005-0000-0000-000081180000}"/>
    <cellStyle name="Red Heading 7 11" xfId="6305" xr:uid="{00000000-0005-0000-0000-000082180000}"/>
    <cellStyle name="Red Heading 7 11 2" xfId="6306" xr:uid="{00000000-0005-0000-0000-000083180000}"/>
    <cellStyle name="Red Heading 7 12" xfId="6307" xr:uid="{00000000-0005-0000-0000-000084180000}"/>
    <cellStyle name="Red Heading 7 12 2" xfId="6308" xr:uid="{00000000-0005-0000-0000-000085180000}"/>
    <cellStyle name="Red Heading 7 13" xfId="6309" xr:uid="{00000000-0005-0000-0000-000086180000}"/>
    <cellStyle name="Red Heading 7 13 2" xfId="6310" xr:uid="{00000000-0005-0000-0000-000087180000}"/>
    <cellStyle name="Red Heading 7 14" xfId="6311" xr:uid="{00000000-0005-0000-0000-000088180000}"/>
    <cellStyle name="Red Heading 7 14 2" xfId="6312" xr:uid="{00000000-0005-0000-0000-000089180000}"/>
    <cellStyle name="Red Heading 7 15" xfId="6313" xr:uid="{00000000-0005-0000-0000-00008A180000}"/>
    <cellStyle name="Red Heading 7 15 2" xfId="6314" xr:uid="{00000000-0005-0000-0000-00008B180000}"/>
    <cellStyle name="Red Heading 7 16" xfId="6315" xr:uid="{00000000-0005-0000-0000-00008C180000}"/>
    <cellStyle name="Red Heading 7 16 2" xfId="6316" xr:uid="{00000000-0005-0000-0000-00008D180000}"/>
    <cellStyle name="Red Heading 7 17" xfId="6317" xr:uid="{00000000-0005-0000-0000-00008E180000}"/>
    <cellStyle name="Red Heading 7 2" xfId="6318" xr:uid="{00000000-0005-0000-0000-00008F180000}"/>
    <cellStyle name="Red Heading 7 2 10" xfId="6319" xr:uid="{00000000-0005-0000-0000-000090180000}"/>
    <cellStyle name="Red Heading 7 2 10 2" xfId="6320" xr:uid="{00000000-0005-0000-0000-000091180000}"/>
    <cellStyle name="Red Heading 7 2 11" xfId="6321" xr:uid="{00000000-0005-0000-0000-000092180000}"/>
    <cellStyle name="Red Heading 7 2 11 2" xfId="6322" xr:uid="{00000000-0005-0000-0000-000093180000}"/>
    <cellStyle name="Red Heading 7 2 12" xfId="6323" xr:uid="{00000000-0005-0000-0000-000094180000}"/>
    <cellStyle name="Red Heading 7 2 12 2" xfId="6324" xr:uid="{00000000-0005-0000-0000-000095180000}"/>
    <cellStyle name="Red Heading 7 2 13" xfId="6325" xr:uid="{00000000-0005-0000-0000-000096180000}"/>
    <cellStyle name="Red Heading 7 2 13 2" xfId="6326" xr:uid="{00000000-0005-0000-0000-000097180000}"/>
    <cellStyle name="Red Heading 7 2 14" xfId="6327" xr:uid="{00000000-0005-0000-0000-000098180000}"/>
    <cellStyle name="Red Heading 7 2 14 2" xfId="6328" xr:uid="{00000000-0005-0000-0000-000099180000}"/>
    <cellStyle name="Red Heading 7 2 15" xfId="6329" xr:uid="{00000000-0005-0000-0000-00009A180000}"/>
    <cellStyle name="Red Heading 7 2 2" xfId="6330" xr:uid="{00000000-0005-0000-0000-00009B180000}"/>
    <cellStyle name="Red Heading 7 2 2 2" xfId="6331" xr:uid="{00000000-0005-0000-0000-00009C180000}"/>
    <cellStyle name="Red Heading 7 2 3" xfId="6332" xr:uid="{00000000-0005-0000-0000-00009D180000}"/>
    <cellStyle name="Red Heading 7 2 3 2" xfId="6333" xr:uid="{00000000-0005-0000-0000-00009E180000}"/>
    <cellStyle name="Red Heading 7 2 4" xfId="6334" xr:uid="{00000000-0005-0000-0000-00009F180000}"/>
    <cellStyle name="Red Heading 7 2 4 2" xfId="6335" xr:uid="{00000000-0005-0000-0000-0000A0180000}"/>
    <cellStyle name="Red Heading 7 2 5" xfId="6336" xr:uid="{00000000-0005-0000-0000-0000A1180000}"/>
    <cellStyle name="Red Heading 7 2 5 2" xfId="6337" xr:uid="{00000000-0005-0000-0000-0000A2180000}"/>
    <cellStyle name="Red Heading 7 2 6" xfId="6338" xr:uid="{00000000-0005-0000-0000-0000A3180000}"/>
    <cellStyle name="Red Heading 7 2 6 2" xfId="6339" xr:uid="{00000000-0005-0000-0000-0000A4180000}"/>
    <cellStyle name="Red Heading 7 2 7" xfId="6340" xr:uid="{00000000-0005-0000-0000-0000A5180000}"/>
    <cellStyle name="Red Heading 7 2 7 2" xfId="6341" xr:uid="{00000000-0005-0000-0000-0000A6180000}"/>
    <cellStyle name="Red Heading 7 2 8" xfId="6342" xr:uid="{00000000-0005-0000-0000-0000A7180000}"/>
    <cellStyle name="Red Heading 7 2 8 2" xfId="6343" xr:uid="{00000000-0005-0000-0000-0000A8180000}"/>
    <cellStyle name="Red Heading 7 2 9" xfId="6344" xr:uid="{00000000-0005-0000-0000-0000A9180000}"/>
    <cellStyle name="Red Heading 7 2 9 2" xfId="6345" xr:uid="{00000000-0005-0000-0000-0000AA180000}"/>
    <cellStyle name="Red Heading 7 3" xfId="6346" xr:uid="{00000000-0005-0000-0000-0000AB180000}"/>
    <cellStyle name="Red Heading 7 3 2" xfId="6347" xr:uid="{00000000-0005-0000-0000-0000AC180000}"/>
    <cellStyle name="Red Heading 7 3 2 2" xfId="6348" xr:uid="{00000000-0005-0000-0000-0000AD180000}"/>
    <cellStyle name="Red Heading 7 3 3" xfId="6349" xr:uid="{00000000-0005-0000-0000-0000AE180000}"/>
    <cellStyle name="Red Heading 7 3 3 2" xfId="6350" xr:uid="{00000000-0005-0000-0000-0000AF180000}"/>
    <cellStyle name="Red Heading 7 3 4" xfId="6351" xr:uid="{00000000-0005-0000-0000-0000B0180000}"/>
    <cellStyle name="Red Heading 7 4" xfId="6352" xr:uid="{00000000-0005-0000-0000-0000B1180000}"/>
    <cellStyle name="Red Heading 7 4 2" xfId="6353" xr:uid="{00000000-0005-0000-0000-0000B2180000}"/>
    <cellStyle name="Red Heading 7 5" xfId="6354" xr:uid="{00000000-0005-0000-0000-0000B3180000}"/>
    <cellStyle name="Red Heading 7 5 2" xfId="6355" xr:uid="{00000000-0005-0000-0000-0000B4180000}"/>
    <cellStyle name="Red Heading 7 6" xfId="6356" xr:uid="{00000000-0005-0000-0000-0000B5180000}"/>
    <cellStyle name="Red Heading 7 6 2" xfId="6357" xr:uid="{00000000-0005-0000-0000-0000B6180000}"/>
    <cellStyle name="Red Heading 7 7" xfId="6358" xr:uid="{00000000-0005-0000-0000-0000B7180000}"/>
    <cellStyle name="Red Heading 7 7 2" xfId="6359" xr:uid="{00000000-0005-0000-0000-0000B8180000}"/>
    <cellStyle name="Red Heading 7 8" xfId="6360" xr:uid="{00000000-0005-0000-0000-0000B9180000}"/>
    <cellStyle name="Red Heading 7 8 2" xfId="6361" xr:uid="{00000000-0005-0000-0000-0000BA180000}"/>
    <cellStyle name="Red Heading 7 9" xfId="6362" xr:uid="{00000000-0005-0000-0000-0000BB180000}"/>
    <cellStyle name="Red Heading 7 9 2" xfId="6363" xr:uid="{00000000-0005-0000-0000-0000BC180000}"/>
    <cellStyle name="Red Heading 8" xfId="6364" xr:uid="{00000000-0005-0000-0000-0000BD180000}"/>
    <cellStyle name="Red Heading 8 10" xfId="6365" xr:uid="{00000000-0005-0000-0000-0000BE180000}"/>
    <cellStyle name="Red Heading 8 10 2" xfId="6366" xr:uid="{00000000-0005-0000-0000-0000BF180000}"/>
    <cellStyle name="Red Heading 8 11" xfId="6367" xr:uid="{00000000-0005-0000-0000-0000C0180000}"/>
    <cellStyle name="Red Heading 8 11 2" xfId="6368" xr:uid="{00000000-0005-0000-0000-0000C1180000}"/>
    <cellStyle name="Red Heading 8 12" xfId="6369" xr:uid="{00000000-0005-0000-0000-0000C2180000}"/>
    <cellStyle name="Red Heading 8 12 2" xfId="6370" xr:uid="{00000000-0005-0000-0000-0000C3180000}"/>
    <cellStyle name="Red Heading 8 13" xfId="6371" xr:uid="{00000000-0005-0000-0000-0000C4180000}"/>
    <cellStyle name="Red Heading 8 13 2" xfId="6372" xr:uid="{00000000-0005-0000-0000-0000C5180000}"/>
    <cellStyle name="Red Heading 8 14" xfId="6373" xr:uid="{00000000-0005-0000-0000-0000C6180000}"/>
    <cellStyle name="Red Heading 8 14 2" xfId="6374" xr:uid="{00000000-0005-0000-0000-0000C7180000}"/>
    <cellStyle name="Red Heading 8 15" xfId="6375" xr:uid="{00000000-0005-0000-0000-0000C8180000}"/>
    <cellStyle name="Red Heading 8 15 2" xfId="6376" xr:uid="{00000000-0005-0000-0000-0000C9180000}"/>
    <cellStyle name="Red Heading 8 16" xfId="6377" xr:uid="{00000000-0005-0000-0000-0000CA180000}"/>
    <cellStyle name="Red Heading 8 16 2" xfId="6378" xr:uid="{00000000-0005-0000-0000-0000CB180000}"/>
    <cellStyle name="Red Heading 8 17" xfId="6379" xr:uid="{00000000-0005-0000-0000-0000CC180000}"/>
    <cellStyle name="Red Heading 8 2" xfId="6380" xr:uid="{00000000-0005-0000-0000-0000CD180000}"/>
    <cellStyle name="Red Heading 8 2 2" xfId="6381" xr:uid="{00000000-0005-0000-0000-0000CE180000}"/>
    <cellStyle name="Red Heading 8 2 2 2" xfId="6382" xr:uid="{00000000-0005-0000-0000-0000CF180000}"/>
    <cellStyle name="Red Heading 8 2 3" xfId="6383" xr:uid="{00000000-0005-0000-0000-0000D0180000}"/>
    <cellStyle name="Red Heading 8 2 3 2" xfId="6384" xr:uid="{00000000-0005-0000-0000-0000D1180000}"/>
    <cellStyle name="Red Heading 8 2 4" xfId="6385" xr:uid="{00000000-0005-0000-0000-0000D2180000}"/>
    <cellStyle name="Red Heading 8 3" xfId="6386" xr:uid="{00000000-0005-0000-0000-0000D3180000}"/>
    <cellStyle name="Red Heading 8 3 2" xfId="6387" xr:uid="{00000000-0005-0000-0000-0000D4180000}"/>
    <cellStyle name="Red Heading 8 3 2 2" xfId="6388" xr:uid="{00000000-0005-0000-0000-0000D5180000}"/>
    <cellStyle name="Red Heading 8 3 3" xfId="6389" xr:uid="{00000000-0005-0000-0000-0000D6180000}"/>
    <cellStyle name="Red Heading 8 3 3 2" xfId="6390" xr:uid="{00000000-0005-0000-0000-0000D7180000}"/>
    <cellStyle name="Red Heading 8 3 4" xfId="6391" xr:uid="{00000000-0005-0000-0000-0000D8180000}"/>
    <cellStyle name="Red Heading 8 4" xfId="6392" xr:uid="{00000000-0005-0000-0000-0000D9180000}"/>
    <cellStyle name="Red Heading 8 4 2" xfId="6393" xr:uid="{00000000-0005-0000-0000-0000DA180000}"/>
    <cellStyle name="Red Heading 8 5" xfId="6394" xr:uid="{00000000-0005-0000-0000-0000DB180000}"/>
    <cellStyle name="Red Heading 8 5 2" xfId="6395" xr:uid="{00000000-0005-0000-0000-0000DC180000}"/>
    <cellStyle name="Red Heading 8 6" xfId="6396" xr:uid="{00000000-0005-0000-0000-0000DD180000}"/>
    <cellStyle name="Red Heading 8 6 2" xfId="6397" xr:uid="{00000000-0005-0000-0000-0000DE180000}"/>
    <cellStyle name="Red Heading 8 7" xfId="6398" xr:uid="{00000000-0005-0000-0000-0000DF180000}"/>
    <cellStyle name="Red Heading 8 7 2" xfId="6399" xr:uid="{00000000-0005-0000-0000-0000E0180000}"/>
    <cellStyle name="Red Heading 8 8" xfId="6400" xr:uid="{00000000-0005-0000-0000-0000E1180000}"/>
    <cellStyle name="Red Heading 8 8 2" xfId="6401" xr:uid="{00000000-0005-0000-0000-0000E2180000}"/>
    <cellStyle name="Red Heading 8 9" xfId="6402" xr:uid="{00000000-0005-0000-0000-0000E3180000}"/>
    <cellStyle name="Red Heading 8 9 2" xfId="6403" xr:uid="{00000000-0005-0000-0000-0000E4180000}"/>
    <cellStyle name="Red Heading 9" xfId="6404" xr:uid="{00000000-0005-0000-0000-0000E5180000}"/>
    <cellStyle name="Red Heading 9 10" xfId="6405" xr:uid="{00000000-0005-0000-0000-0000E6180000}"/>
    <cellStyle name="Red Heading 9 10 2" xfId="6406" xr:uid="{00000000-0005-0000-0000-0000E7180000}"/>
    <cellStyle name="Red Heading 9 11" xfId="6407" xr:uid="{00000000-0005-0000-0000-0000E8180000}"/>
    <cellStyle name="Red Heading 9 11 2" xfId="6408" xr:uid="{00000000-0005-0000-0000-0000E9180000}"/>
    <cellStyle name="Red Heading 9 12" xfId="6409" xr:uid="{00000000-0005-0000-0000-0000EA180000}"/>
    <cellStyle name="Red Heading 9 12 2" xfId="6410" xr:uid="{00000000-0005-0000-0000-0000EB180000}"/>
    <cellStyle name="Red Heading 9 13" xfId="6411" xr:uid="{00000000-0005-0000-0000-0000EC180000}"/>
    <cellStyle name="Red Heading 9 13 2" xfId="6412" xr:uid="{00000000-0005-0000-0000-0000ED180000}"/>
    <cellStyle name="Red Heading 9 14" xfId="6413" xr:uid="{00000000-0005-0000-0000-0000EE180000}"/>
    <cellStyle name="Red Heading 9 14 2" xfId="6414" xr:uid="{00000000-0005-0000-0000-0000EF180000}"/>
    <cellStyle name="Red Heading 9 15" xfId="6415" xr:uid="{00000000-0005-0000-0000-0000F0180000}"/>
    <cellStyle name="Red Heading 9 15 2" xfId="6416" xr:uid="{00000000-0005-0000-0000-0000F1180000}"/>
    <cellStyle name="Red Heading 9 16" xfId="6417" xr:uid="{00000000-0005-0000-0000-0000F2180000}"/>
    <cellStyle name="Red Heading 9 16 2" xfId="6418" xr:uid="{00000000-0005-0000-0000-0000F3180000}"/>
    <cellStyle name="Red Heading 9 17" xfId="6419" xr:uid="{00000000-0005-0000-0000-0000F4180000}"/>
    <cellStyle name="Red Heading 9 2" xfId="6420" xr:uid="{00000000-0005-0000-0000-0000F5180000}"/>
    <cellStyle name="Red Heading 9 2 2" xfId="6421" xr:uid="{00000000-0005-0000-0000-0000F6180000}"/>
    <cellStyle name="Red Heading 9 2 2 2" xfId="6422" xr:uid="{00000000-0005-0000-0000-0000F7180000}"/>
    <cellStyle name="Red Heading 9 2 3" xfId="6423" xr:uid="{00000000-0005-0000-0000-0000F8180000}"/>
    <cellStyle name="Red Heading 9 2 3 2" xfId="6424" xr:uid="{00000000-0005-0000-0000-0000F9180000}"/>
    <cellStyle name="Red Heading 9 2 4" xfId="6425" xr:uid="{00000000-0005-0000-0000-0000FA180000}"/>
    <cellStyle name="Red Heading 9 3" xfId="6426" xr:uid="{00000000-0005-0000-0000-0000FB180000}"/>
    <cellStyle name="Red Heading 9 3 2" xfId="6427" xr:uid="{00000000-0005-0000-0000-0000FC180000}"/>
    <cellStyle name="Red Heading 9 3 2 2" xfId="6428" xr:uid="{00000000-0005-0000-0000-0000FD180000}"/>
    <cellStyle name="Red Heading 9 3 3" xfId="6429" xr:uid="{00000000-0005-0000-0000-0000FE180000}"/>
    <cellStyle name="Red Heading 9 3 3 2" xfId="6430" xr:uid="{00000000-0005-0000-0000-0000FF180000}"/>
    <cellStyle name="Red Heading 9 3 4" xfId="6431" xr:uid="{00000000-0005-0000-0000-000000190000}"/>
    <cellStyle name="Red Heading 9 4" xfId="6432" xr:uid="{00000000-0005-0000-0000-000001190000}"/>
    <cellStyle name="Red Heading 9 4 2" xfId="6433" xr:uid="{00000000-0005-0000-0000-000002190000}"/>
    <cellStyle name="Red Heading 9 5" xfId="6434" xr:uid="{00000000-0005-0000-0000-000003190000}"/>
    <cellStyle name="Red Heading 9 5 2" xfId="6435" xr:uid="{00000000-0005-0000-0000-000004190000}"/>
    <cellStyle name="Red Heading 9 6" xfId="6436" xr:uid="{00000000-0005-0000-0000-000005190000}"/>
    <cellStyle name="Red Heading 9 6 2" xfId="6437" xr:uid="{00000000-0005-0000-0000-000006190000}"/>
    <cellStyle name="Red Heading 9 7" xfId="6438" xr:uid="{00000000-0005-0000-0000-000007190000}"/>
    <cellStyle name="Red Heading 9 7 2" xfId="6439" xr:uid="{00000000-0005-0000-0000-000008190000}"/>
    <cellStyle name="Red Heading 9 8" xfId="6440" xr:uid="{00000000-0005-0000-0000-000009190000}"/>
    <cellStyle name="Red Heading 9 8 2" xfId="6441" xr:uid="{00000000-0005-0000-0000-00000A190000}"/>
    <cellStyle name="Red Heading 9 9" xfId="6442" xr:uid="{00000000-0005-0000-0000-00000B190000}"/>
    <cellStyle name="Red Heading 9 9 2" xfId="6443" xr:uid="{00000000-0005-0000-0000-00000C190000}"/>
    <cellStyle name="Reference" xfId="185" xr:uid="{00000000-0005-0000-0000-00000D190000}"/>
    <cellStyle name="Row Blue" xfId="6444" xr:uid="{00000000-0005-0000-0000-00000E190000}"/>
    <cellStyle name="Row Blue 10" xfId="6445" xr:uid="{00000000-0005-0000-0000-00000F190000}"/>
    <cellStyle name="Row Blue 11" xfId="6446" xr:uid="{00000000-0005-0000-0000-000010190000}"/>
    <cellStyle name="Row Blue 2" xfId="6447" xr:uid="{00000000-0005-0000-0000-000011190000}"/>
    <cellStyle name="Row Blue 2 2" xfId="6448" xr:uid="{00000000-0005-0000-0000-000012190000}"/>
    <cellStyle name="Row Blue 2 3" xfId="6449" xr:uid="{00000000-0005-0000-0000-000013190000}"/>
    <cellStyle name="Row Blue 3" xfId="6450" xr:uid="{00000000-0005-0000-0000-000014190000}"/>
    <cellStyle name="Row Blue 4" xfId="6451" xr:uid="{00000000-0005-0000-0000-000015190000}"/>
    <cellStyle name="Row Blue 5" xfId="6452" xr:uid="{00000000-0005-0000-0000-000016190000}"/>
    <cellStyle name="Row Blue 6" xfId="6453" xr:uid="{00000000-0005-0000-0000-000017190000}"/>
    <cellStyle name="Row Blue 7" xfId="6454" xr:uid="{00000000-0005-0000-0000-000018190000}"/>
    <cellStyle name="Row Blue 8" xfId="6455" xr:uid="{00000000-0005-0000-0000-000019190000}"/>
    <cellStyle name="Row Blue 9" xfId="6456" xr:uid="{00000000-0005-0000-0000-00001A190000}"/>
    <cellStyle name="Row heading" xfId="186" xr:uid="{00000000-0005-0000-0000-00001B190000}"/>
    <cellStyle name="Row Lt. Green" xfId="6457" xr:uid="{00000000-0005-0000-0000-00001C190000}"/>
    <cellStyle name="Row Lt. Green 2" xfId="6458" xr:uid="{00000000-0005-0000-0000-00001D190000}"/>
    <cellStyle name="Row Total Blue" xfId="6459" xr:uid="{00000000-0005-0000-0000-00001E190000}"/>
    <cellStyle name="Row Total Blue 2" xfId="6460" xr:uid="{00000000-0005-0000-0000-00001F190000}"/>
    <cellStyle name="Row Total Blue 3" xfId="6461" xr:uid="{00000000-0005-0000-0000-000020190000}"/>
    <cellStyle name="Row Total Blue 4" xfId="6462" xr:uid="{00000000-0005-0000-0000-000021190000}"/>
    <cellStyle name="Row Total Blue 5" xfId="6463" xr:uid="{00000000-0005-0000-0000-000022190000}"/>
    <cellStyle name="Row Total Blue 6" xfId="6464" xr:uid="{00000000-0005-0000-0000-000023190000}"/>
    <cellStyle name="Row Total Blue 7" xfId="6465" xr:uid="{00000000-0005-0000-0000-000024190000}"/>
    <cellStyle name="Row Total Blue 8" xfId="6466" xr:uid="{00000000-0005-0000-0000-000025190000}"/>
    <cellStyle name="Row Total Blue 9" xfId="6467" xr:uid="{00000000-0005-0000-0000-000026190000}"/>
    <cellStyle name="Salida" xfId="6468" xr:uid="{00000000-0005-0000-0000-000027190000}"/>
    <cellStyle name="Salida 10" xfId="6469" xr:uid="{00000000-0005-0000-0000-000028190000}"/>
    <cellStyle name="Salida 10 2" xfId="6470" xr:uid="{00000000-0005-0000-0000-000029190000}"/>
    <cellStyle name="Salida 11" xfId="6471" xr:uid="{00000000-0005-0000-0000-00002A190000}"/>
    <cellStyle name="Salida 11 2" xfId="6472" xr:uid="{00000000-0005-0000-0000-00002B190000}"/>
    <cellStyle name="Salida 12" xfId="6473" xr:uid="{00000000-0005-0000-0000-00002C190000}"/>
    <cellStyle name="Salida 12 2" xfId="6474" xr:uid="{00000000-0005-0000-0000-00002D190000}"/>
    <cellStyle name="Salida 13" xfId="6475" xr:uid="{00000000-0005-0000-0000-00002E190000}"/>
    <cellStyle name="Salida 13 2" xfId="6476" xr:uid="{00000000-0005-0000-0000-00002F190000}"/>
    <cellStyle name="Salida 14" xfId="6477" xr:uid="{00000000-0005-0000-0000-000030190000}"/>
    <cellStyle name="Salida 14 2" xfId="6478" xr:uid="{00000000-0005-0000-0000-000031190000}"/>
    <cellStyle name="Salida 15" xfId="6479" xr:uid="{00000000-0005-0000-0000-000032190000}"/>
    <cellStyle name="Salida 15 2" xfId="6480" xr:uid="{00000000-0005-0000-0000-000033190000}"/>
    <cellStyle name="Salida 16" xfId="6481" xr:uid="{00000000-0005-0000-0000-000034190000}"/>
    <cellStyle name="Salida 16 2" xfId="6482" xr:uid="{00000000-0005-0000-0000-000035190000}"/>
    <cellStyle name="Salida 17" xfId="6483" xr:uid="{00000000-0005-0000-0000-000036190000}"/>
    <cellStyle name="Salida 17 2" xfId="6484" xr:uid="{00000000-0005-0000-0000-000037190000}"/>
    <cellStyle name="Salida 18" xfId="6485" xr:uid="{00000000-0005-0000-0000-000038190000}"/>
    <cellStyle name="Salida 18 2" xfId="6486" xr:uid="{00000000-0005-0000-0000-000039190000}"/>
    <cellStyle name="Salida 19" xfId="6487" xr:uid="{00000000-0005-0000-0000-00003A190000}"/>
    <cellStyle name="Salida 19 2" xfId="6488" xr:uid="{00000000-0005-0000-0000-00003B190000}"/>
    <cellStyle name="Salida 2" xfId="6489" xr:uid="{00000000-0005-0000-0000-00003C190000}"/>
    <cellStyle name="Salida 2 10" xfId="6490" xr:uid="{00000000-0005-0000-0000-00003D190000}"/>
    <cellStyle name="Salida 2 10 2" xfId="6491" xr:uid="{00000000-0005-0000-0000-00003E190000}"/>
    <cellStyle name="Salida 2 11" xfId="6492" xr:uid="{00000000-0005-0000-0000-00003F190000}"/>
    <cellStyle name="Salida 2 11 2" xfId="6493" xr:uid="{00000000-0005-0000-0000-000040190000}"/>
    <cellStyle name="Salida 2 12" xfId="6494" xr:uid="{00000000-0005-0000-0000-000041190000}"/>
    <cellStyle name="Salida 2 12 2" xfId="6495" xr:uid="{00000000-0005-0000-0000-000042190000}"/>
    <cellStyle name="Salida 2 13" xfId="6496" xr:uid="{00000000-0005-0000-0000-000043190000}"/>
    <cellStyle name="Salida 2 13 2" xfId="6497" xr:uid="{00000000-0005-0000-0000-000044190000}"/>
    <cellStyle name="Salida 2 14" xfId="6498" xr:uid="{00000000-0005-0000-0000-000045190000}"/>
    <cellStyle name="Salida 2 14 2" xfId="6499" xr:uid="{00000000-0005-0000-0000-000046190000}"/>
    <cellStyle name="Salida 2 15" xfId="6500" xr:uid="{00000000-0005-0000-0000-000047190000}"/>
    <cellStyle name="Salida 2 15 2" xfId="6501" xr:uid="{00000000-0005-0000-0000-000048190000}"/>
    <cellStyle name="Salida 2 16" xfId="6502" xr:uid="{00000000-0005-0000-0000-000049190000}"/>
    <cellStyle name="Salida 2 16 2" xfId="6503" xr:uid="{00000000-0005-0000-0000-00004A190000}"/>
    <cellStyle name="Salida 2 17" xfId="6504" xr:uid="{00000000-0005-0000-0000-00004B190000}"/>
    <cellStyle name="Salida 2 2" xfId="6505" xr:uid="{00000000-0005-0000-0000-00004C190000}"/>
    <cellStyle name="Salida 2 2 10" xfId="6506" xr:uid="{00000000-0005-0000-0000-00004D190000}"/>
    <cellStyle name="Salida 2 2 10 2" xfId="6507" xr:uid="{00000000-0005-0000-0000-00004E190000}"/>
    <cellStyle name="Salida 2 2 11" xfId="6508" xr:uid="{00000000-0005-0000-0000-00004F190000}"/>
    <cellStyle name="Salida 2 2 11 2" xfId="6509" xr:uid="{00000000-0005-0000-0000-000050190000}"/>
    <cellStyle name="Salida 2 2 12" xfId="6510" xr:uid="{00000000-0005-0000-0000-000051190000}"/>
    <cellStyle name="Salida 2 2 12 2" xfId="6511" xr:uid="{00000000-0005-0000-0000-000052190000}"/>
    <cellStyle name="Salida 2 2 13" xfId="6512" xr:uid="{00000000-0005-0000-0000-000053190000}"/>
    <cellStyle name="Salida 2 2 13 2" xfId="6513" xr:uid="{00000000-0005-0000-0000-000054190000}"/>
    <cellStyle name="Salida 2 2 14" xfId="6514" xr:uid="{00000000-0005-0000-0000-000055190000}"/>
    <cellStyle name="Salida 2 2 14 2" xfId="6515" xr:uid="{00000000-0005-0000-0000-000056190000}"/>
    <cellStyle name="Salida 2 2 15" xfId="6516" xr:uid="{00000000-0005-0000-0000-000057190000}"/>
    <cellStyle name="Salida 2 2 2" xfId="6517" xr:uid="{00000000-0005-0000-0000-000058190000}"/>
    <cellStyle name="Salida 2 2 2 2" xfId="6518" xr:uid="{00000000-0005-0000-0000-000059190000}"/>
    <cellStyle name="Salida 2 2 3" xfId="6519" xr:uid="{00000000-0005-0000-0000-00005A190000}"/>
    <cellStyle name="Salida 2 2 3 2" xfId="6520" xr:uid="{00000000-0005-0000-0000-00005B190000}"/>
    <cellStyle name="Salida 2 2 4" xfId="6521" xr:uid="{00000000-0005-0000-0000-00005C190000}"/>
    <cellStyle name="Salida 2 2 4 2" xfId="6522" xr:uid="{00000000-0005-0000-0000-00005D190000}"/>
    <cellStyle name="Salida 2 2 5" xfId="6523" xr:uid="{00000000-0005-0000-0000-00005E190000}"/>
    <cellStyle name="Salida 2 2 5 2" xfId="6524" xr:uid="{00000000-0005-0000-0000-00005F190000}"/>
    <cellStyle name="Salida 2 2 6" xfId="6525" xr:uid="{00000000-0005-0000-0000-000060190000}"/>
    <cellStyle name="Salida 2 2 6 2" xfId="6526" xr:uid="{00000000-0005-0000-0000-000061190000}"/>
    <cellStyle name="Salida 2 2 7" xfId="6527" xr:uid="{00000000-0005-0000-0000-000062190000}"/>
    <cellStyle name="Salida 2 2 7 2" xfId="6528" xr:uid="{00000000-0005-0000-0000-000063190000}"/>
    <cellStyle name="Salida 2 2 8" xfId="6529" xr:uid="{00000000-0005-0000-0000-000064190000}"/>
    <cellStyle name="Salida 2 2 8 2" xfId="6530" xr:uid="{00000000-0005-0000-0000-000065190000}"/>
    <cellStyle name="Salida 2 2 9" xfId="6531" xr:uid="{00000000-0005-0000-0000-000066190000}"/>
    <cellStyle name="Salida 2 2 9 2" xfId="6532" xr:uid="{00000000-0005-0000-0000-000067190000}"/>
    <cellStyle name="Salida 2 3" xfId="6533" xr:uid="{00000000-0005-0000-0000-000068190000}"/>
    <cellStyle name="Salida 2 3 2" xfId="6534" xr:uid="{00000000-0005-0000-0000-000069190000}"/>
    <cellStyle name="Salida 2 3 2 2" xfId="6535" xr:uid="{00000000-0005-0000-0000-00006A190000}"/>
    <cellStyle name="Salida 2 3 3" xfId="6536" xr:uid="{00000000-0005-0000-0000-00006B190000}"/>
    <cellStyle name="Salida 2 3 3 2" xfId="6537" xr:uid="{00000000-0005-0000-0000-00006C190000}"/>
    <cellStyle name="Salida 2 3 4" xfId="6538" xr:uid="{00000000-0005-0000-0000-00006D190000}"/>
    <cellStyle name="Salida 2 4" xfId="6539" xr:uid="{00000000-0005-0000-0000-00006E190000}"/>
    <cellStyle name="Salida 2 4 2" xfId="6540" xr:uid="{00000000-0005-0000-0000-00006F190000}"/>
    <cellStyle name="Salida 2 5" xfId="6541" xr:uid="{00000000-0005-0000-0000-000070190000}"/>
    <cellStyle name="Salida 2 5 2" xfId="6542" xr:uid="{00000000-0005-0000-0000-000071190000}"/>
    <cellStyle name="Salida 2 6" xfId="6543" xr:uid="{00000000-0005-0000-0000-000072190000}"/>
    <cellStyle name="Salida 2 6 2" xfId="6544" xr:uid="{00000000-0005-0000-0000-000073190000}"/>
    <cellStyle name="Salida 2 7" xfId="6545" xr:uid="{00000000-0005-0000-0000-000074190000}"/>
    <cellStyle name="Salida 2 7 2" xfId="6546" xr:uid="{00000000-0005-0000-0000-000075190000}"/>
    <cellStyle name="Salida 2 8" xfId="6547" xr:uid="{00000000-0005-0000-0000-000076190000}"/>
    <cellStyle name="Salida 2 8 2" xfId="6548" xr:uid="{00000000-0005-0000-0000-000077190000}"/>
    <cellStyle name="Salida 2 9" xfId="6549" xr:uid="{00000000-0005-0000-0000-000078190000}"/>
    <cellStyle name="Salida 2 9 2" xfId="6550" xr:uid="{00000000-0005-0000-0000-000079190000}"/>
    <cellStyle name="Salida 20" xfId="6551" xr:uid="{00000000-0005-0000-0000-00007A190000}"/>
    <cellStyle name="Salida 20 2" xfId="6552" xr:uid="{00000000-0005-0000-0000-00007B190000}"/>
    <cellStyle name="Salida 21" xfId="6553" xr:uid="{00000000-0005-0000-0000-00007C190000}"/>
    <cellStyle name="Salida 21 2" xfId="6554" xr:uid="{00000000-0005-0000-0000-00007D190000}"/>
    <cellStyle name="Salida 22" xfId="6555" xr:uid="{00000000-0005-0000-0000-00007E190000}"/>
    <cellStyle name="Salida 22 2" xfId="6556" xr:uid="{00000000-0005-0000-0000-00007F190000}"/>
    <cellStyle name="Salida 3" xfId="6557" xr:uid="{00000000-0005-0000-0000-000080190000}"/>
    <cellStyle name="Salida 3 10" xfId="6558" xr:uid="{00000000-0005-0000-0000-000081190000}"/>
    <cellStyle name="Salida 3 10 2" xfId="6559" xr:uid="{00000000-0005-0000-0000-000082190000}"/>
    <cellStyle name="Salida 3 11" xfId="6560" xr:uid="{00000000-0005-0000-0000-000083190000}"/>
    <cellStyle name="Salida 3 11 2" xfId="6561" xr:uid="{00000000-0005-0000-0000-000084190000}"/>
    <cellStyle name="Salida 3 12" xfId="6562" xr:uid="{00000000-0005-0000-0000-000085190000}"/>
    <cellStyle name="Salida 3 12 2" xfId="6563" xr:uid="{00000000-0005-0000-0000-000086190000}"/>
    <cellStyle name="Salida 3 13" xfId="6564" xr:uid="{00000000-0005-0000-0000-000087190000}"/>
    <cellStyle name="Salida 3 13 2" xfId="6565" xr:uid="{00000000-0005-0000-0000-000088190000}"/>
    <cellStyle name="Salida 3 14" xfId="6566" xr:uid="{00000000-0005-0000-0000-000089190000}"/>
    <cellStyle name="Salida 3 14 2" xfId="6567" xr:uid="{00000000-0005-0000-0000-00008A190000}"/>
    <cellStyle name="Salida 3 15" xfId="6568" xr:uid="{00000000-0005-0000-0000-00008B190000}"/>
    <cellStyle name="Salida 3 15 2" xfId="6569" xr:uid="{00000000-0005-0000-0000-00008C190000}"/>
    <cellStyle name="Salida 3 16" xfId="6570" xr:uid="{00000000-0005-0000-0000-00008D190000}"/>
    <cellStyle name="Salida 3 16 2" xfId="6571" xr:uid="{00000000-0005-0000-0000-00008E190000}"/>
    <cellStyle name="Salida 3 17" xfId="6572" xr:uid="{00000000-0005-0000-0000-00008F190000}"/>
    <cellStyle name="Salida 3 2" xfId="6573" xr:uid="{00000000-0005-0000-0000-000090190000}"/>
    <cellStyle name="Salida 3 2 10" xfId="6574" xr:uid="{00000000-0005-0000-0000-000091190000}"/>
    <cellStyle name="Salida 3 2 10 2" xfId="6575" xr:uid="{00000000-0005-0000-0000-000092190000}"/>
    <cellStyle name="Salida 3 2 11" xfId="6576" xr:uid="{00000000-0005-0000-0000-000093190000}"/>
    <cellStyle name="Salida 3 2 11 2" xfId="6577" xr:uid="{00000000-0005-0000-0000-000094190000}"/>
    <cellStyle name="Salida 3 2 12" xfId="6578" xr:uid="{00000000-0005-0000-0000-000095190000}"/>
    <cellStyle name="Salida 3 2 12 2" xfId="6579" xr:uid="{00000000-0005-0000-0000-000096190000}"/>
    <cellStyle name="Salida 3 2 13" xfId="6580" xr:uid="{00000000-0005-0000-0000-000097190000}"/>
    <cellStyle name="Salida 3 2 13 2" xfId="6581" xr:uid="{00000000-0005-0000-0000-000098190000}"/>
    <cellStyle name="Salida 3 2 14" xfId="6582" xr:uid="{00000000-0005-0000-0000-000099190000}"/>
    <cellStyle name="Salida 3 2 14 2" xfId="6583" xr:uid="{00000000-0005-0000-0000-00009A190000}"/>
    <cellStyle name="Salida 3 2 15" xfId="6584" xr:uid="{00000000-0005-0000-0000-00009B190000}"/>
    <cellStyle name="Salida 3 2 2" xfId="6585" xr:uid="{00000000-0005-0000-0000-00009C190000}"/>
    <cellStyle name="Salida 3 2 2 2" xfId="6586" xr:uid="{00000000-0005-0000-0000-00009D190000}"/>
    <cellStyle name="Salida 3 2 3" xfId="6587" xr:uid="{00000000-0005-0000-0000-00009E190000}"/>
    <cellStyle name="Salida 3 2 3 2" xfId="6588" xr:uid="{00000000-0005-0000-0000-00009F190000}"/>
    <cellStyle name="Salida 3 2 4" xfId="6589" xr:uid="{00000000-0005-0000-0000-0000A0190000}"/>
    <cellStyle name="Salida 3 2 4 2" xfId="6590" xr:uid="{00000000-0005-0000-0000-0000A1190000}"/>
    <cellStyle name="Salida 3 2 5" xfId="6591" xr:uid="{00000000-0005-0000-0000-0000A2190000}"/>
    <cellStyle name="Salida 3 2 5 2" xfId="6592" xr:uid="{00000000-0005-0000-0000-0000A3190000}"/>
    <cellStyle name="Salida 3 2 6" xfId="6593" xr:uid="{00000000-0005-0000-0000-0000A4190000}"/>
    <cellStyle name="Salida 3 2 6 2" xfId="6594" xr:uid="{00000000-0005-0000-0000-0000A5190000}"/>
    <cellStyle name="Salida 3 2 7" xfId="6595" xr:uid="{00000000-0005-0000-0000-0000A6190000}"/>
    <cellStyle name="Salida 3 2 7 2" xfId="6596" xr:uid="{00000000-0005-0000-0000-0000A7190000}"/>
    <cellStyle name="Salida 3 2 8" xfId="6597" xr:uid="{00000000-0005-0000-0000-0000A8190000}"/>
    <cellStyle name="Salida 3 2 8 2" xfId="6598" xr:uid="{00000000-0005-0000-0000-0000A9190000}"/>
    <cellStyle name="Salida 3 2 9" xfId="6599" xr:uid="{00000000-0005-0000-0000-0000AA190000}"/>
    <cellStyle name="Salida 3 2 9 2" xfId="6600" xr:uid="{00000000-0005-0000-0000-0000AB190000}"/>
    <cellStyle name="Salida 3 3" xfId="6601" xr:uid="{00000000-0005-0000-0000-0000AC190000}"/>
    <cellStyle name="Salida 3 3 2" xfId="6602" xr:uid="{00000000-0005-0000-0000-0000AD190000}"/>
    <cellStyle name="Salida 3 3 2 2" xfId="6603" xr:uid="{00000000-0005-0000-0000-0000AE190000}"/>
    <cellStyle name="Salida 3 3 3" xfId="6604" xr:uid="{00000000-0005-0000-0000-0000AF190000}"/>
    <cellStyle name="Salida 3 3 3 2" xfId="6605" xr:uid="{00000000-0005-0000-0000-0000B0190000}"/>
    <cellStyle name="Salida 3 3 4" xfId="6606" xr:uid="{00000000-0005-0000-0000-0000B1190000}"/>
    <cellStyle name="Salida 3 4" xfId="6607" xr:uid="{00000000-0005-0000-0000-0000B2190000}"/>
    <cellStyle name="Salida 3 4 2" xfId="6608" xr:uid="{00000000-0005-0000-0000-0000B3190000}"/>
    <cellStyle name="Salida 3 5" xfId="6609" xr:uid="{00000000-0005-0000-0000-0000B4190000}"/>
    <cellStyle name="Salida 3 5 2" xfId="6610" xr:uid="{00000000-0005-0000-0000-0000B5190000}"/>
    <cellStyle name="Salida 3 6" xfId="6611" xr:uid="{00000000-0005-0000-0000-0000B6190000}"/>
    <cellStyle name="Salida 3 6 2" xfId="6612" xr:uid="{00000000-0005-0000-0000-0000B7190000}"/>
    <cellStyle name="Salida 3 7" xfId="6613" xr:uid="{00000000-0005-0000-0000-0000B8190000}"/>
    <cellStyle name="Salida 3 7 2" xfId="6614" xr:uid="{00000000-0005-0000-0000-0000B9190000}"/>
    <cellStyle name="Salida 3 8" xfId="6615" xr:uid="{00000000-0005-0000-0000-0000BA190000}"/>
    <cellStyle name="Salida 3 8 2" xfId="6616" xr:uid="{00000000-0005-0000-0000-0000BB190000}"/>
    <cellStyle name="Salida 3 9" xfId="6617" xr:uid="{00000000-0005-0000-0000-0000BC190000}"/>
    <cellStyle name="Salida 3 9 2" xfId="6618" xr:uid="{00000000-0005-0000-0000-0000BD190000}"/>
    <cellStyle name="Salida 4" xfId="6619" xr:uid="{00000000-0005-0000-0000-0000BE190000}"/>
    <cellStyle name="Salida 4 10" xfId="6620" xr:uid="{00000000-0005-0000-0000-0000BF190000}"/>
    <cellStyle name="Salida 4 10 2" xfId="6621" xr:uid="{00000000-0005-0000-0000-0000C0190000}"/>
    <cellStyle name="Salida 4 11" xfId="6622" xr:uid="{00000000-0005-0000-0000-0000C1190000}"/>
    <cellStyle name="Salida 4 11 2" xfId="6623" xr:uid="{00000000-0005-0000-0000-0000C2190000}"/>
    <cellStyle name="Salida 4 12" xfId="6624" xr:uid="{00000000-0005-0000-0000-0000C3190000}"/>
    <cellStyle name="Salida 4 12 2" xfId="6625" xr:uid="{00000000-0005-0000-0000-0000C4190000}"/>
    <cellStyle name="Salida 4 13" xfId="6626" xr:uid="{00000000-0005-0000-0000-0000C5190000}"/>
    <cellStyle name="Salida 4 13 2" xfId="6627" xr:uid="{00000000-0005-0000-0000-0000C6190000}"/>
    <cellStyle name="Salida 4 14" xfId="6628" xr:uid="{00000000-0005-0000-0000-0000C7190000}"/>
    <cellStyle name="Salida 4 14 2" xfId="6629" xr:uid="{00000000-0005-0000-0000-0000C8190000}"/>
    <cellStyle name="Salida 4 15" xfId="6630" xr:uid="{00000000-0005-0000-0000-0000C9190000}"/>
    <cellStyle name="Salida 4 15 2" xfId="6631" xr:uid="{00000000-0005-0000-0000-0000CA190000}"/>
    <cellStyle name="Salida 4 16" xfId="6632" xr:uid="{00000000-0005-0000-0000-0000CB190000}"/>
    <cellStyle name="Salida 4 16 2" xfId="6633" xr:uid="{00000000-0005-0000-0000-0000CC190000}"/>
    <cellStyle name="Salida 4 17" xfId="6634" xr:uid="{00000000-0005-0000-0000-0000CD190000}"/>
    <cellStyle name="Salida 4 2" xfId="6635" xr:uid="{00000000-0005-0000-0000-0000CE190000}"/>
    <cellStyle name="Salida 4 2 10" xfId="6636" xr:uid="{00000000-0005-0000-0000-0000CF190000}"/>
    <cellStyle name="Salida 4 2 10 2" xfId="6637" xr:uid="{00000000-0005-0000-0000-0000D0190000}"/>
    <cellStyle name="Salida 4 2 11" xfId="6638" xr:uid="{00000000-0005-0000-0000-0000D1190000}"/>
    <cellStyle name="Salida 4 2 11 2" xfId="6639" xr:uid="{00000000-0005-0000-0000-0000D2190000}"/>
    <cellStyle name="Salida 4 2 12" xfId="6640" xr:uid="{00000000-0005-0000-0000-0000D3190000}"/>
    <cellStyle name="Salida 4 2 12 2" xfId="6641" xr:uid="{00000000-0005-0000-0000-0000D4190000}"/>
    <cellStyle name="Salida 4 2 13" xfId="6642" xr:uid="{00000000-0005-0000-0000-0000D5190000}"/>
    <cellStyle name="Salida 4 2 13 2" xfId="6643" xr:uid="{00000000-0005-0000-0000-0000D6190000}"/>
    <cellStyle name="Salida 4 2 14" xfId="6644" xr:uid="{00000000-0005-0000-0000-0000D7190000}"/>
    <cellStyle name="Salida 4 2 14 2" xfId="6645" xr:uid="{00000000-0005-0000-0000-0000D8190000}"/>
    <cellStyle name="Salida 4 2 15" xfId="6646" xr:uid="{00000000-0005-0000-0000-0000D9190000}"/>
    <cellStyle name="Salida 4 2 2" xfId="6647" xr:uid="{00000000-0005-0000-0000-0000DA190000}"/>
    <cellStyle name="Salida 4 2 2 2" xfId="6648" xr:uid="{00000000-0005-0000-0000-0000DB190000}"/>
    <cellStyle name="Salida 4 2 3" xfId="6649" xr:uid="{00000000-0005-0000-0000-0000DC190000}"/>
    <cellStyle name="Salida 4 2 3 2" xfId="6650" xr:uid="{00000000-0005-0000-0000-0000DD190000}"/>
    <cellStyle name="Salida 4 2 4" xfId="6651" xr:uid="{00000000-0005-0000-0000-0000DE190000}"/>
    <cellStyle name="Salida 4 2 4 2" xfId="6652" xr:uid="{00000000-0005-0000-0000-0000DF190000}"/>
    <cellStyle name="Salida 4 2 5" xfId="6653" xr:uid="{00000000-0005-0000-0000-0000E0190000}"/>
    <cellStyle name="Salida 4 2 5 2" xfId="6654" xr:uid="{00000000-0005-0000-0000-0000E1190000}"/>
    <cellStyle name="Salida 4 2 6" xfId="6655" xr:uid="{00000000-0005-0000-0000-0000E2190000}"/>
    <cellStyle name="Salida 4 2 6 2" xfId="6656" xr:uid="{00000000-0005-0000-0000-0000E3190000}"/>
    <cellStyle name="Salida 4 2 7" xfId="6657" xr:uid="{00000000-0005-0000-0000-0000E4190000}"/>
    <cellStyle name="Salida 4 2 7 2" xfId="6658" xr:uid="{00000000-0005-0000-0000-0000E5190000}"/>
    <cellStyle name="Salida 4 2 8" xfId="6659" xr:uid="{00000000-0005-0000-0000-0000E6190000}"/>
    <cellStyle name="Salida 4 2 8 2" xfId="6660" xr:uid="{00000000-0005-0000-0000-0000E7190000}"/>
    <cellStyle name="Salida 4 2 9" xfId="6661" xr:uid="{00000000-0005-0000-0000-0000E8190000}"/>
    <cellStyle name="Salida 4 2 9 2" xfId="6662" xr:uid="{00000000-0005-0000-0000-0000E9190000}"/>
    <cellStyle name="Salida 4 3" xfId="6663" xr:uid="{00000000-0005-0000-0000-0000EA190000}"/>
    <cellStyle name="Salida 4 3 2" xfId="6664" xr:uid="{00000000-0005-0000-0000-0000EB190000}"/>
    <cellStyle name="Salida 4 3 2 2" xfId="6665" xr:uid="{00000000-0005-0000-0000-0000EC190000}"/>
    <cellStyle name="Salida 4 3 3" xfId="6666" xr:uid="{00000000-0005-0000-0000-0000ED190000}"/>
    <cellStyle name="Salida 4 3 3 2" xfId="6667" xr:uid="{00000000-0005-0000-0000-0000EE190000}"/>
    <cellStyle name="Salida 4 3 4" xfId="6668" xr:uid="{00000000-0005-0000-0000-0000EF190000}"/>
    <cellStyle name="Salida 4 4" xfId="6669" xr:uid="{00000000-0005-0000-0000-0000F0190000}"/>
    <cellStyle name="Salida 4 4 2" xfId="6670" xr:uid="{00000000-0005-0000-0000-0000F1190000}"/>
    <cellStyle name="Salida 4 5" xfId="6671" xr:uid="{00000000-0005-0000-0000-0000F2190000}"/>
    <cellStyle name="Salida 4 5 2" xfId="6672" xr:uid="{00000000-0005-0000-0000-0000F3190000}"/>
    <cellStyle name="Salida 4 6" xfId="6673" xr:uid="{00000000-0005-0000-0000-0000F4190000}"/>
    <cellStyle name="Salida 4 6 2" xfId="6674" xr:uid="{00000000-0005-0000-0000-0000F5190000}"/>
    <cellStyle name="Salida 4 7" xfId="6675" xr:uid="{00000000-0005-0000-0000-0000F6190000}"/>
    <cellStyle name="Salida 4 7 2" xfId="6676" xr:uid="{00000000-0005-0000-0000-0000F7190000}"/>
    <cellStyle name="Salida 4 8" xfId="6677" xr:uid="{00000000-0005-0000-0000-0000F8190000}"/>
    <cellStyle name="Salida 4 8 2" xfId="6678" xr:uid="{00000000-0005-0000-0000-0000F9190000}"/>
    <cellStyle name="Salida 4 9" xfId="6679" xr:uid="{00000000-0005-0000-0000-0000FA190000}"/>
    <cellStyle name="Salida 4 9 2" xfId="6680" xr:uid="{00000000-0005-0000-0000-0000FB190000}"/>
    <cellStyle name="Salida 5" xfId="6681" xr:uid="{00000000-0005-0000-0000-0000FC190000}"/>
    <cellStyle name="Salida 5 10" xfId="6682" xr:uid="{00000000-0005-0000-0000-0000FD190000}"/>
    <cellStyle name="Salida 5 10 2" xfId="6683" xr:uid="{00000000-0005-0000-0000-0000FE190000}"/>
    <cellStyle name="Salida 5 11" xfId="6684" xr:uid="{00000000-0005-0000-0000-0000FF190000}"/>
    <cellStyle name="Salida 5 11 2" xfId="6685" xr:uid="{00000000-0005-0000-0000-0000001A0000}"/>
    <cellStyle name="Salida 5 12" xfId="6686" xr:uid="{00000000-0005-0000-0000-0000011A0000}"/>
    <cellStyle name="Salida 5 12 2" xfId="6687" xr:uid="{00000000-0005-0000-0000-0000021A0000}"/>
    <cellStyle name="Salida 5 13" xfId="6688" xr:uid="{00000000-0005-0000-0000-0000031A0000}"/>
    <cellStyle name="Salida 5 13 2" xfId="6689" xr:uid="{00000000-0005-0000-0000-0000041A0000}"/>
    <cellStyle name="Salida 5 14" xfId="6690" xr:uid="{00000000-0005-0000-0000-0000051A0000}"/>
    <cellStyle name="Salida 5 14 2" xfId="6691" xr:uid="{00000000-0005-0000-0000-0000061A0000}"/>
    <cellStyle name="Salida 5 15" xfId="6692" xr:uid="{00000000-0005-0000-0000-0000071A0000}"/>
    <cellStyle name="Salida 5 15 2" xfId="6693" xr:uid="{00000000-0005-0000-0000-0000081A0000}"/>
    <cellStyle name="Salida 5 16" xfId="6694" xr:uid="{00000000-0005-0000-0000-0000091A0000}"/>
    <cellStyle name="Salida 5 16 2" xfId="6695" xr:uid="{00000000-0005-0000-0000-00000A1A0000}"/>
    <cellStyle name="Salida 5 17" xfId="6696" xr:uid="{00000000-0005-0000-0000-00000B1A0000}"/>
    <cellStyle name="Salida 5 2" xfId="6697" xr:uid="{00000000-0005-0000-0000-00000C1A0000}"/>
    <cellStyle name="Salida 5 2 10" xfId="6698" xr:uid="{00000000-0005-0000-0000-00000D1A0000}"/>
    <cellStyle name="Salida 5 2 10 2" xfId="6699" xr:uid="{00000000-0005-0000-0000-00000E1A0000}"/>
    <cellStyle name="Salida 5 2 11" xfId="6700" xr:uid="{00000000-0005-0000-0000-00000F1A0000}"/>
    <cellStyle name="Salida 5 2 11 2" xfId="6701" xr:uid="{00000000-0005-0000-0000-0000101A0000}"/>
    <cellStyle name="Salida 5 2 12" xfId="6702" xr:uid="{00000000-0005-0000-0000-0000111A0000}"/>
    <cellStyle name="Salida 5 2 12 2" xfId="6703" xr:uid="{00000000-0005-0000-0000-0000121A0000}"/>
    <cellStyle name="Salida 5 2 13" xfId="6704" xr:uid="{00000000-0005-0000-0000-0000131A0000}"/>
    <cellStyle name="Salida 5 2 13 2" xfId="6705" xr:uid="{00000000-0005-0000-0000-0000141A0000}"/>
    <cellStyle name="Salida 5 2 14" xfId="6706" xr:uid="{00000000-0005-0000-0000-0000151A0000}"/>
    <cellStyle name="Salida 5 2 14 2" xfId="6707" xr:uid="{00000000-0005-0000-0000-0000161A0000}"/>
    <cellStyle name="Salida 5 2 15" xfId="6708" xr:uid="{00000000-0005-0000-0000-0000171A0000}"/>
    <cellStyle name="Salida 5 2 2" xfId="6709" xr:uid="{00000000-0005-0000-0000-0000181A0000}"/>
    <cellStyle name="Salida 5 2 2 2" xfId="6710" xr:uid="{00000000-0005-0000-0000-0000191A0000}"/>
    <cellStyle name="Salida 5 2 3" xfId="6711" xr:uid="{00000000-0005-0000-0000-00001A1A0000}"/>
    <cellStyle name="Salida 5 2 3 2" xfId="6712" xr:uid="{00000000-0005-0000-0000-00001B1A0000}"/>
    <cellStyle name="Salida 5 2 4" xfId="6713" xr:uid="{00000000-0005-0000-0000-00001C1A0000}"/>
    <cellStyle name="Salida 5 2 4 2" xfId="6714" xr:uid="{00000000-0005-0000-0000-00001D1A0000}"/>
    <cellStyle name="Salida 5 2 5" xfId="6715" xr:uid="{00000000-0005-0000-0000-00001E1A0000}"/>
    <cellStyle name="Salida 5 2 5 2" xfId="6716" xr:uid="{00000000-0005-0000-0000-00001F1A0000}"/>
    <cellStyle name="Salida 5 2 6" xfId="6717" xr:uid="{00000000-0005-0000-0000-0000201A0000}"/>
    <cellStyle name="Salida 5 2 6 2" xfId="6718" xr:uid="{00000000-0005-0000-0000-0000211A0000}"/>
    <cellStyle name="Salida 5 2 7" xfId="6719" xr:uid="{00000000-0005-0000-0000-0000221A0000}"/>
    <cellStyle name="Salida 5 2 7 2" xfId="6720" xr:uid="{00000000-0005-0000-0000-0000231A0000}"/>
    <cellStyle name="Salida 5 2 8" xfId="6721" xr:uid="{00000000-0005-0000-0000-0000241A0000}"/>
    <cellStyle name="Salida 5 2 8 2" xfId="6722" xr:uid="{00000000-0005-0000-0000-0000251A0000}"/>
    <cellStyle name="Salida 5 2 9" xfId="6723" xr:uid="{00000000-0005-0000-0000-0000261A0000}"/>
    <cellStyle name="Salida 5 2 9 2" xfId="6724" xr:uid="{00000000-0005-0000-0000-0000271A0000}"/>
    <cellStyle name="Salida 5 3" xfId="6725" xr:uid="{00000000-0005-0000-0000-0000281A0000}"/>
    <cellStyle name="Salida 5 3 2" xfId="6726" xr:uid="{00000000-0005-0000-0000-0000291A0000}"/>
    <cellStyle name="Salida 5 3 2 2" xfId="6727" xr:uid="{00000000-0005-0000-0000-00002A1A0000}"/>
    <cellStyle name="Salida 5 3 3" xfId="6728" xr:uid="{00000000-0005-0000-0000-00002B1A0000}"/>
    <cellStyle name="Salida 5 3 3 2" xfId="6729" xr:uid="{00000000-0005-0000-0000-00002C1A0000}"/>
    <cellStyle name="Salida 5 3 4" xfId="6730" xr:uid="{00000000-0005-0000-0000-00002D1A0000}"/>
    <cellStyle name="Salida 5 4" xfId="6731" xr:uid="{00000000-0005-0000-0000-00002E1A0000}"/>
    <cellStyle name="Salida 5 4 2" xfId="6732" xr:uid="{00000000-0005-0000-0000-00002F1A0000}"/>
    <cellStyle name="Salida 5 5" xfId="6733" xr:uid="{00000000-0005-0000-0000-0000301A0000}"/>
    <cellStyle name="Salida 5 5 2" xfId="6734" xr:uid="{00000000-0005-0000-0000-0000311A0000}"/>
    <cellStyle name="Salida 5 6" xfId="6735" xr:uid="{00000000-0005-0000-0000-0000321A0000}"/>
    <cellStyle name="Salida 5 6 2" xfId="6736" xr:uid="{00000000-0005-0000-0000-0000331A0000}"/>
    <cellStyle name="Salida 5 7" xfId="6737" xr:uid="{00000000-0005-0000-0000-0000341A0000}"/>
    <cellStyle name="Salida 5 7 2" xfId="6738" xr:uid="{00000000-0005-0000-0000-0000351A0000}"/>
    <cellStyle name="Salida 5 8" xfId="6739" xr:uid="{00000000-0005-0000-0000-0000361A0000}"/>
    <cellStyle name="Salida 5 8 2" xfId="6740" xr:uid="{00000000-0005-0000-0000-0000371A0000}"/>
    <cellStyle name="Salida 5 9" xfId="6741" xr:uid="{00000000-0005-0000-0000-0000381A0000}"/>
    <cellStyle name="Salida 5 9 2" xfId="6742" xr:uid="{00000000-0005-0000-0000-0000391A0000}"/>
    <cellStyle name="Salida 6" xfId="6743" xr:uid="{00000000-0005-0000-0000-00003A1A0000}"/>
    <cellStyle name="Salida 6 10" xfId="6744" xr:uid="{00000000-0005-0000-0000-00003B1A0000}"/>
    <cellStyle name="Salida 6 10 2" xfId="6745" xr:uid="{00000000-0005-0000-0000-00003C1A0000}"/>
    <cellStyle name="Salida 6 11" xfId="6746" xr:uid="{00000000-0005-0000-0000-00003D1A0000}"/>
    <cellStyle name="Salida 6 11 2" xfId="6747" xr:uid="{00000000-0005-0000-0000-00003E1A0000}"/>
    <cellStyle name="Salida 6 12" xfId="6748" xr:uid="{00000000-0005-0000-0000-00003F1A0000}"/>
    <cellStyle name="Salida 6 12 2" xfId="6749" xr:uid="{00000000-0005-0000-0000-0000401A0000}"/>
    <cellStyle name="Salida 6 13" xfId="6750" xr:uid="{00000000-0005-0000-0000-0000411A0000}"/>
    <cellStyle name="Salida 6 13 2" xfId="6751" xr:uid="{00000000-0005-0000-0000-0000421A0000}"/>
    <cellStyle name="Salida 6 14" xfId="6752" xr:uid="{00000000-0005-0000-0000-0000431A0000}"/>
    <cellStyle name="Salida 6 14 2" xfId="6753" xr:uid="{00000000-0005-0000-0000-0000441A0000}"/>
    <cellStyle name="Salida 6 15" xfId="6754" xr:uid="{00000000-0005-0000-0000-0000451A0000}"/>
    <cellStyle name="Salida 6 15 2" xfId="6755" xr:uid="{00000000-0005-0000-0000-0000461A0000}"/>
    <cellStyle name="Salida 6 16" xfId="6756" xr:uid="{00000000-0005-0000-0000-0000471A0000}"/>
    <cellStyle name="Salida 6 16 2" xfId="6757" xr:uid="{00000000-0005-0000-0000-0000481A0000}"/>
    <cellStyle name="Salida 6 17" xfId="6758" xr:uid="{00000000-0005-0000-0000-0000491A0000}"/>
    <cellStyle name="Salida 6 2" xfId="6759" xr:uid="{00000000-0005-0000-0000-00004A1A0000}"/>
    <cellStyle name="Salida 6 2 2" xfId="6760" xr:uid="{00000000-0005-0000-0000-00004B1A0000}"/>
    <cellStyle name="Salida 6 2 2 2" xfId="6761" xr:uid="{00000000-0005-0000-0000-00004C1A0000}"/>
    <cellStyle name="Salida 6 2 3" xfId="6762" xr:uid="{00000000-0005-0000-0000-00004D1A0000}"/>
    <cellStyle name="Salida 6 2 3 2" xfId="6763" xr:uid="{00000000-0005-0000-0000-00004E1A0000}"/>
    <cellStyle name="Salida 6 2 4" xfId="6764" xr:uid="{00000000-0005-0000-0000-00004F1A0000}"/>
    <cellStyle name="Salida 6 3" xfId="6765" xr:uid="{00000000-0005-0000-0000-0000501A0000}"/>
    <cellStyle name="Salida 6 3 2" xfId="6766" xr:uid="{00000000-0005-0000-0000-0000511A0000}"/>
    <cellStyle name="Salida 6 3 2 2" xfId="6767" xr:uid="{00000000-0005-0000-0000-0000521A0000}"/>
    <cellStyle name="Salida 6 3 3" xfId="6768" xr:uid="{00000000-0005-0000-0000-0000531A0000}"/>
    <cellStyle name="Salida 6 3 3 2" xfId="6769" xr:uid="{00000000-0005-0000-0000-0000541A0000}"/>
    <cellStyle name="Salida 6 3 4" xfId="6770" xr:uid="{00000000-0005-0000-0000-0000551A0000}"/>
    <cellStyle name="Salida 6 4" xfId="6771" xr:uid="{00000000-0005-0000-0000-0000561A0000}"/>
    <cellStyle name="Salida 6 4 2" xfId="6772" xr:uid="{00000000-0005-0000-0000-0000571A0000}"/>
    <cellStyle name="Salida 6 5" xfId="6773" xr:uid="{00000000-0005-0000-0000-0000581A0000}"/>
    <cellStyle name="Salida 6 5 2" xfId="6774" xr:uid="{00000000-0005-0000-0000-0000591A0000}"/>
    <cellStyle name="Salida 6 6" xfId="6775" xr:uid="{00000000-0005-0000-0000-00005A1A0000}"/>
    <cellStyle name="Salida 6 6 2" xfId="6776" xr:uid="{00000000-0005-0000-0000-00005B1A0000}"/>
    <cellStyle name="Salida 6 7" xfId="6777" xr:uid="{00000000-0005-0000-0000-00005C1A0000}"/>
    <cellStyle name="Salida 6 7 2" xfId="6778" xr:uid="{00000000-0005-0000-0000-00005D1A0000}"/>
    <cellStyle name="Salida 6 8" xfId="6779" xr:uid="{00000000-0005-0000-0000-00005E1A0000}"/>
    <cellStyle name="Salida 6 8 2" xfId="6780" xr:uid="{00000000-0005-0000-0000-00005F1A0000}"/>
    <cellStyle name="Salida 6 9" xfId="6781" xr:uid="{00000000-0005-0000-0000-0000601A0000}"/>
    <cellStyle name="Salida 6 9 2" xfId="6782" xr:uid="{00000000-0005-0000-0000-0000611A0000}"/>
    <cellStyle name="Salida 7" xfId="6783" xr:uid="{00000000-0005-0000-0000-0000621A0000}"/>
    <cellStyle name="Salida 7 10" xfId="6784" xr:uid="{00000000-0005-0000-0000-0000631A0000}"/>
    <cellStyle name="Salida 7 10 2" xfId="6785" xr:uid="{00000000-0005-0000-0000-0000641A0000}"/>
    <cellStyle name="Salida 7 11" xfId="6786" xr:uid="{00000000-0005-0000-0000-0000651A0000}"/>
    <cellStyle name="Salida 7 11 2" xfId="6787" xr:uid="{00000000-0005-0000-0000-0000661A0000}"/>
    <cellStyle name="Salida 7 12" xfId="6788" xr:uid="{00000000-0005-0000-0000-0000671A0000}"/>
    <cellStyle name="Salida 7 12 2" xfId="6789" xr:uid="{00000000-0005-0000-0000-0000681A0000}"/>
    <cellStyle name="Salida 7 13" xfId="6790" xr:uid="{00000000-0005-0000-0000-0000691A0000}"/>
    <cellStyle name="Salida 7 13 2" xfId="6791" xr:uid="{00000000-0005-0000-0000-00006A1A0000}"/>
    <cellStyle name="Salida 7 14" xfId="6792" xr:uid="{00000000-0005-0000-0000-00006B1A0000}"/>
    <cellStyle name="Salida 7 14 2" xfId="6793" xr:uid="{00000000-0005-0000-0000-00006C1A0000}"/>
    <cellStyle name="Salida 7 15" xfId="6794" xr:uid="{00000000-0005-0000-0000-00006D1A0000}"/>
    <cellStyle name="Salida 7 15 2" xfId="6795" xr:uid="{00000000-0005-0000-0000-00006E1A0000}"/>
    <cellStyle name="Salida 7 16" xfId="6796" xr:uid="{00000000-0005-0000-0000-00006F1A0000}"/>
    <cellStyle name="Salida 7 16 2" xfId="6797" xr:uid="{00000000-0005-0000-0000-0000701A0000}"/>
    <cellStyle name="Salida 7 17" xfId="6798" xr:uid="{00000000-0005-0000-0000-0000711A0000}"/>
    <cellStyle name="Salida 7 2" xfId="6799" xr:uid="{00000000-0005-0000-0000-0000721A0000}"/>
    <cellStyle name="Salida 7 2 2" xfId="6800" xr:uid="{00000000-0005-0000-0000-0000731A0000}"/>
    <cellStyle name="Salida 7 2 2 2" xfId="6801" xr:uid="{00000000-0005-0000-0000-0000741A0000}"/>
    <cellStyle name="Salida 7 2 3" xfId="6802" xr:uid="{00000000-0005-0000-0000-0000751A0000}"/>
    <cellStyle name="Salida 7 2 3 2" xfId="6803" xr:uid="{00000000-0005-0000-0000-0000761A0000}"/>
    <cellStyle name="Salida 7 2 4" xfId="6804" xr:uid="{00000000-0005-0000-0000-0000771A0000}"/>
    <cellStyle name="Salida 7 3" xfId="6805" xr:uid="{00000000-0005-0000-0000-0000781A0000}"/>
    <cellStyle name="Salida 7 3 2" xfId="6806" xr:uid="{00000000-0005-0000-0000-0000791A0000}"/>
    <cellStyle name="Salida 7 3 2 2" xfId="6807" xr:uid="{00000000-0005-0000-0000-00007A1A0000}"/>
    <cellStyle name="Salida 7 3 3" xfId="6808" xr:uid="{00000000-0005-0000-0000-00007B1A0000}"/>
    <cellStyle name="Salida 7 3 3 2" xfId="6809" xr:uid="{00000000-0005-0000-0000-00007C1A0000}"/>
    <cellStyle name="Salida 7 3 4" xfId="6810" xr:uid="{00000000-0005-0000-0000-00007D1A0000}"/>
    <cellStyle name="Salida 7 4" xfId="6811" xr:uid="{00000000-0005-0000-0000-00007E1A0000}"/>
    <cellStyle name="Salida 7 4 2" xfId="6812" xr:uid="{00000000-0005-0000-0000-00007F1A0000}"/>
    <cellStyle name="Salida 7 5" xfId="6813" xr:uid="{00000000-0005-0000-0000-0000801A0000}"/>
    <cellStyle name="Salida 7 5 2" xfId="6814" xr:uid="{00000000-0005-0000-0000-0000811A0000}"/>
    <cellStyle name="Salida 7 6" xfId="6815" xr:uid="{00000000-0005-0000-0000-0000821A0000}"/>
    <cellStyle name="Salida 7 6 2" xfId="6816" xr:uid="{00000000-0005-0000-0000-0000831A0000}"/>
    <cellStyle name="Salida 7 7" xfId="6817" xr:uid="{00000000-0005-0000-0000-0000841A0000}"/>
    <cellStyle name="Salida 7 7 2" xfId="6818" xr:uid="{00000000-0005-0000-0000-0000851A0000}"/>
    <cellStyle name="Salida 7 8" xfId="6819" xr:uid="{00000000-0005-0000-0000-0000861A0000}"/>
    <cellStyle name="Salida 7 8 2" xfId="6820" xr:uid="{00000000-0005-0000-0000-0000871A0000}"/>
    <cellStyle name="Salida 7 9" xfId="6821" xr:uid="{00000000-0005-0000-0000-0000881A0000}"/>
    <cellStyle name="Salida 7 9 2" xfId="6822" xr:uid="{00000000-0005-0000-0000-0000891A0000}"/>
    <cellStyle name="Salida 8" xfId="6823" xr:uid="{00000000-0005-0000-0000-00008A1A0000}"/>
    <cellStyle name="Salida 8 2" xfId="6824" xr:uid="{00000000-0005-0000-0000-00008B1A0000}"/>
    <cellStyle name="Salida 8 2 2" xfId="6825" xr:uid="{00000000-0005-0000-0000-00008C1A0000}"/>
    <cellStyle name="Salida 8 2 2 2" xfId="6826" xr:uid="{00000000-0005-0000-0000-00008D1A0000}"/>
    <cellStyle name="Salida 8 2 3" xfId="6827" xr:uid="{00000000-0005-0000-0000-00008E1A0000}"/>
    <cellStyle name="Salida 8 2 3 2" xfId="6828" xr:uid="{00000000-0005-0000-0000-00008F1A0000}"/>
    <cellStyle name="Salida 8 2 4" xfId="6829" xr:uid="{00000000-0005-0000-0000-0000901A0000}"/>
    <cellStyle name="Salida 8 3" xfId="6830" xr:uid="{00000000-0005-0000-0000-0000911A0000}"/>
    <cellStyle name="Salida 8 3 2" xfId="6831" xr:uid="{00000000-0005-0000-0000-0000921A0000}"/>
    <cellStyle name="Salida 8 3 2 2" xfId="6832" xr:uid="{00000000-0005-0000-0000-0000931A0000}"/>
    <cellStyle name="Salida 8 3 3" xfId="6833" xr:uid="{00000000-0005-0000-0000-0000941A0000}"/>
    <cellStyle name="Salida 8 3 3 2" xfId="6834" xr:uid="{00000000-0005-0000-0000-0000951A0000}"/>
    <cellStyle name="Salida 8 3 4" xfId="6835" xr:uid="{00000000-0005-0000-0000-0000961A0000}"/>
    <cellStyle name="Salida 8 4" xfId="6836" xr:uid="{00000000-0005-0000-0000-0000971A0000}"/>
    <cellStyle name="Salida 8 4 2" xfId="6837" xr:uid="{00000000-0005-0000-0000-0000981A0000}"/>
    <cellStyle name="Salida 8 5" xfId="6838" xr:uid="{00000000-0005-0000-0000-0000991A0000}"/>
    <cellStyle name="Salida 8 5 2" xfId="6839" xr:uid="{00000000-0005-0000-0000-00009A1A0000}"/>
    <cellStyle name="Salida 8 6" xfId="6840" xr:uid="{00000000-0005-0000-0000-00009B1A0000}"/>
    <cellStyle name="Salida 9" xfId="6841" xr:uid="{00000000-0005-0000-0000-00009C1A0000}"/>
    <cellStyle name="Salida 9 2" xfId="6842" xr:uid="{00000000-0005-0000-0000-00009D1A0000}"/>
    <cellStyle name="Salida 9 2 2" xfId="6843" xr:uid="{00000000-0005-0000-0000-00009E1A0000}"/>
    <cellStyle name="Salida 9 3" xfId="6844" xr:uid="{00000000-0005-0000-0000-00009F1A0000}"/>
    <cellStyle name="Salida 9 3 2" xfId="6845" xr:uid="{00000000-0005-0000-0000-0000A01A0000}"/>
    <cellStyle name="Salida 9 4" xfId="6846" xr:uid="{00000000-0005-0000-0000-0000A11A0000}"/>
    <cellStyle name="Scientific" xfId="128" xr:uid="{00000000-0005-0000-0000-0000A21A0000}"/>
    <cellStyle name="Source Hed" xfId="187" xr:uid="{00000000-0005-0000-0000-0000A31A0000}"/>
    <cellStyle name="Source Letter" xfId="188" xr:uid="{00000000-0005-0000-0000-0000A41A0000}"/>
    <cellStyle name="Source Superscript" xfId="189" xr:uid="{00000000-0005-0000-0000-0000A51A0000}"/>
    <cellStyle name="Source Text" xfId="190" xr:uid="{00000000-0005-0000-0000-0000A61A0000}"/>
    <cellStyle name="Standard_AVERAGE NUMBER OF WEEKLY WORK HOURS PER EMPLOYED PERSON" xfId="6847" xr:uid="{00000000-0005-0000-0000-0000A71A0000}"/>
    <cellStyle name="State" xfId="191" xr:uid="{00000000-0005-0000-0000-0000A81A0000}"/>
    <cellStyle name="Style 1" xfId="6848" xr:uid="{00000000-0005-0000-0000-0000A91A0000}"/>
    <cellStyle name="Style 1 10" xfId="6849" xr:uid="{00000000-0005-0000-0000-0000AA1A0000}"/>
    <cellStyle name="Style 1 11" xfId="6850" xr:uid="{00000000-0005-0000-0000-0000AB1A0000}"/>
    <cellStyle name="Style 1 12" xfId="6851" xr:uid="{00000000-0005-0000-0000-0000AC1A0000}"/>
    <cellStyle name="Style 1 13" xfId="6852" xr:uid="{00000000-0005-0000-0000-0000AD1A0000}"/>
    <cellStyle name="Style 1 14" xfId="6853" xr:uid="{00000000-0005-0000-0000-0000AE1A0000}"/>
    <cellStyle name="Style 1 15" xfId="6854" xr:uid="{00000000-0005-0000-0000-0000AF1A0000}"/>
    <cellStyle name="Style 1 16" xfId="6855" xr:uid="{00000000-0005-0000-0000-0000B01A0000}"/>
    <cellStyle name="Style 1 17" xfId="6856" xr:uid="{00000000-0005-0000-0000-0000B11A0000}"/>
    <cellStyle name="Style 1 18" xfId="6857" xr:uid="{00000000-0005-0000-0000-0000B21A0000}"/>
    <cellStyle name="Style 1 19" xfId="6858" xr:uid="{00000000-0005-0000-0000-0000B31A0000}"/>
    <cellStyle name="Style 1 2" xfId="6859" xr:uid="{00000000-0005-0000-0000-0000B41A0000}"/>
    <cellStyle name="Style 1 20" xfId="6860" xr:uid="{00000000-0005-0000-0000-0000B51A0000}"/>
    <cellStyle name="Style 1 21" xfId="6861" xr:uid="{00000000-0005-0000-0000-0000B61A0000}"/>
    <cellStyle name="Style 1 22" xfId="6862" xr:uid="{00000000-0005-0000-0000-0000B71A0000}"/>
    <cellStyle name="Style 1 23" xfId="6863" xr:uid="{00000000-0005-0000-0000-0000B81A0000}"/>
    <cellStyle name="Style 1 24" xfId="6864" xr:uid="{00000000-0005-0000-0000-0000B91A0000}"/>
    <cellStyle name="Style 1 3" xfId="6865" xr:uid="{00000000-0005-0000-0000-0000BA1A0000}"/>
    <cellStyle name="Style 1 4" xfId="6866" xr:uid="{00000000-0005-0000-0000-0000BB1A0000}"/>
    <cellStyle name="Style 1 5" xfId="6867" xr:uid="{00000000-0005-0000-0000-0000BC1A0000}"/>
    <cellStyle name="Style 1 6" xfId="6868" xr:uid="{00000000-0005-0000-0000-0000BD1A0000}"/>
    <cellStyle name="Style 1 7" xfId="6869" xr:uid="{00000000-0005-0000-0000-0000BE1A0000}"/>
    <cellStyle name="Style 1 8" xfId="6870" xr:uid="{00000000-0005-0000-0000-0000BF1A0000}"/>
    <cellStyle name="Style 1 9" xfId="6871" xr:uid="{00000000-0005-0000-0000-0000C01A0000}"/>
    <cellStyle name="styleColumnTitles" xfId="6872" xr:uid="{00000000-0005-0000-0000-0000C11A0000}"/>
    <cellStyle name="styleDateRange" xfId="6873" xr:uid="{00000000-0005-0000-0000-0000C21A0000}"/>
    <cellStyle name="styleHidden" xfId="6874" xr:uid="{00000000-0005-0000-0000-0000C31A0000}"/>
    <cellStyle name="styleHidden 10" xfId="6875" xr:uid="{00000000-0005-0000-0000-0000C41A0000}"/>
    <cellStyle name="styleHidden 11" xfId="6876" xr:uid="{00000000-0005-0000-0000-0000C51A0000}"/>
    <cellStyle name="styleHidden 12" xfId="6877" xr:uid="{00000000-0005-0000-0000-0000C61A0000}"/>
    <cellStyle name="styleHidden 13" xfId="6878" xr:uid="{00000000-0005-0000-0000-0000C71A0000}"/>
    <cellStyle name="styleHidden 14" xfId="6879" xr:uid="{00000000-0005-0000-0000-0000C81A0000}"/>
    <cellStyle name="styleHidden 15" xfId="6880" xr:uid="{00000000-0005-0000-0000-0000C91A0000}"/>
    <cellStyle name="styleHidden 16" xfId="6881" xr:uid="{00000000-0005-0000-0000-0000CA1A0000}"/>
    <cellStyle name="styleHidden 17" xfId="6882" xr:uid="{00000000-0005-0000-0000-0000CB1A0000}"/>
    <cellStyle name="styleHidden 18" xfId="6883" xr:uid="{00000000-0005-0000-0000-0000CC1A0000}"/>
    <cellStyle name="styleHidden 19" xfId="6884" xr:uid="{00000000-0005-0000-0000-0000CD1A0000}"/>
    <cellStyle name="styleHidden 2" xfId="6885" xr:uid="{00000000-0005-0000-0000-0000CE1A0000}"/>
    <cellStyle name="styleHidden 20" xfId="6886" xr:uid="{00000000-0005-0000-0000-0000CF1A0000}"/>
    <cellStyle name="styleHidden 21" xfId="6887" xr:uid="{00000000-0005-0000-0000-0000D01A0000}"/>
    <cellStyle name="styleHidden 22" xfId="6888" xr:uid="{00000000-0005-0000-0000-0000D11A0000}"/>
    <cellStyle name="styleHidden 23" xfId="6889" xr:uid="{00000000-0005-0000-0000-0000D21A0000}"/>
    <cellStyle name="styleHidden 24" xfId="6890" xr:uid="{00000000-0005-0000-0000-0000D31A0000}"/>
    <cellStyle name="styleHidden 3" xfId="6891" xr:uid="{00000000-0005-0000-0000-0000D41A0000}"/>
    <cellStyle name="styleHidden 4" xfId="6892" xr:uid="{00000000-0005-0000-0000-0000D51A0000}"/>
    <cellStyle name="styleHidden 5" xfId="6893" xr:uid="{00000000-0005-0000-0000-0000D61A0000}"/>
    <cellStyle name="styleHidden 6" xfId="6894" xr:uid="{00000000-0005-0000-0000-0000D71A0000}"/>
    <cellStyle name="styleHidden 7" xfId="6895" xr:uid="{00000000-0005-0000-0000-0000D81A0000}"/>
    <cellStyle name="styleHidden 8" xfId="6896" xr:uid="{00000000-0005-0000-0000-0000D91A0000}"/>
    <cellStyle name="styleHidden 9" xfId="6897" xr:uid="{00000000-0005-0000-0000-0000DA1A0000}"/>
    <cellStyle name="styleNormal" xfId="6898" xr:uid="{00000000-0005-0000-0000-0000DB1A0000}"/>
    <cellStyle name="styleSeriesAttributes" xfId="6899" xr:uid="{00000000-0005-0000-0000-0000DC1A0000}"/>
    <cellStyle name="styleSeriesData" xfId="6900" xr:uid="{00000000-0005-0000-0000-0000DD1A0000}"/>
    <cellStyle name="styleSeriesDataNA" xfId="6901" xr:uid="{00000000-0005-0000-0000-0000DE1A0000}"/>
    <cellStyle name="Subheading Blue" xfId="6902" xr:uid="{00000000-0005-0000-0000-0000DF1A0000}"/>
    <cellStyle name="Subheading Blue 2" xfId="6903" xr:uid="{00000000-0005-0000-0000-0000E01A0000}"/>
    <cellStyle name="Subheading Blue 3" xfId="6904" xr:uid="{00000000-0005-0000-0000-0000E11A0000}"/>
    <cellStyle name="Subheading Blue 4" xfId="6905" xr:uid="{00000000-0005-0000-0000-0000E21A0000}"/>
    <cellStyle name="Subheading Blue 5" xfId="6906" xr:uid="{00000000-0005-0000-0000-0000E31A0000}"/>
    <cellStyle name="Subheading Blue 6" xfId="6907" xr:uid="{00000000-0005-0000-0000-0000E41A0000}"/>
    <cellStyle name="Subheading Blue 7" xfId="6908" xr:uid="{00000000-0005-0000-0000-0000E51A0000}"/>
    <cellStyle name="Subheading Blue 8" xfId="6909" xr:uid="{00000000-0005-0000-0000-0000E61A0000}"/>
    <cellStyle name="Subheading Blue 9" xfId="6910" xr:uid="{00000000-0005-0000-0000-0000E71A0000}"/>
    <cellStyle name="Subheading Green" xfId="6911" xr:uid="{00000000-0005-0000-0000-0000E81A0000}"/>
    <cellStyle name="Subheading Green 2" xfId="6912" xr:uid="{00000000-0005-0000-0000-0000E91A0000}"/>
    <cellStyle name="Subheading Red" xfId="6913" xr:uid="{00000000-0005-0000-0000-0000EA1A0000}"/>
    <cellStyle name="Subheading Red 10" xfId="6914" xr:uid="{00000000-0005-0000-0000-0000EB1A0000}"/>
    <cellStyle name="Subheading Red 11" xfId="6915" xr:uid="{00000000-0005-0000-0000-0000EC1A0000}"/>
    <cellStyle name="Subheading Red 2" xfId="6916" xr:uid="{00000000-0005-0000-0000-0000ED1A0000}"/>
    <cellStyle name="Subheading Red 2 2" xfId="6917" xr:uid="{00000000-0005-0000-0000-0000EE1A0000}"/>
    <cellStyle name="Subheading Red 2 3" xfId="6918" xr:uid="{00000000-0005-0000-0000-0000EF1A0000}"/>
    <cellStyle name="Subheading Red 3" xfId="6919" xr:uid="{00000000-0005-0000-0000-0000F01A0000}"/>
    <cellStyle name="Subheading Red 4" xfId="6920" xr:uid="{00000000-0005-0000-0000-0000F11A0000}"/>
    <cellStyle name="Subheading Red 5" xfId="6921" xr:uid="{00000000-0005-0000-0000-0000F21A0000}"/>
    <cellStyle name="Subheading Red 6" xfId="6922" xr:uid="{00000000-0005-0000-0000-0000F31A0000}"/>
    <cellStyle name="Subheading Red 7" xfId="6923" xr:uid="{00000000-0005-0000-0000-0000F41A0000}"/>
    <cellStyle name="Subheading Red 8" xfId="6924" xr:uid="{00000000-0005-0000-0000-0000F51A0000}"/>
    <cellStyle name="Subheading Red 9" xfId="6925" xr:uid="{00000000-0005-0000-0000-0000F61A0000}"/>
    <cellStyle name="Superscript" xfId="192" xr:uid="{00000000-0005-0000-0000-0000F71A0000}"/>
    <cellStyle name="Superscript- regular" xfId="193" xr:uid="{00000000-0005-0000-0000-0000F81A0000}"/>
    <cellStyle name="Superscript_1-1A-Regular" xfId="194" xr:uid="{00000000-0005-0000-0000-0000F91A0000}"/>
    <cellStyle name="Table Data" xfId="195" xr:uid="{00000000-0005-0000-0000-0000FA1A0000}"/>
    <cellStyle name="Table Head" xfId="6926" xr:uid="{00000000-0005-0000-0000-0000FB1A0000}"/>
    <cellStyle name="Table Head Aligned" xfId="6927" xr:uid="{00000000-0005-0000-0000-0000FC1A0000}"/>
    <cellStyle name="Table Head Blue" xfId="6928" xr:uid="{00000000-0005-0000-0000-0000FD1A0000}"/>
    <cellStyle name="Table Head Green" xfId="6929" xr:uid="{00000000-0005-0000-0000-0000FE1A0000}"/>
    <cellStyle name="Table Head Top" xfId="196" xr:uid="{00000000-0005-0000-0000-0000FF1A0000}"/>
    <cellStyle name="Table Hed Side" xfId="197" xr:uid="{00000000-0005-0000-0000-0000001B0000}"/>
    <cellStyle name="Table Title" xfId="198" xr:uid="{00000000-0005-0000-0000-0000011B0000}"/>
    <cellStyle name="Table Units" xfId="6930" xr:uid="{00000000-0005-0000-0000-0000021B0000}"/>
    <cellStyle name="Texto de advertencia" xfId="6931" xr:uid="{00000000-0005-0000-0000-0000031B0000}"/>
    <cellStyle name="Texto explicativo" xfId="6932" xr:uid="{00000000-0005-0000-0000-0000041B0000}"/>
    <cellStyle name="Title" xfId="9" builtinId="15" customBuiltin="1"/>
    <cellStyle name="Title 2" xfId="129" xr:uid="{00000000-0005-0000-0000-0000061B0000}"/>
    <cellStyle name="Title 2 10" xfId="6933" xr:uid="{00000000-0005-0000-0000-0000071B0000}"/>
    <cellStyle name="Title 2 11" xfId="6934" xr:uid="{00000000-0005-0000-0000-0000081B0000}"/>
    <cellStyle name="Title 2 12" xfId="6935" xr:uid="{00000000-0005-0000-0000-0000091B0000}"/>
    <cellStyle name="Title 2 13" xfId="6936" xr:uid="{00000000-0005-0000-0000-00000A1B0000}"/>
    <cellStyle name="Title 2 14" xfId="6937" xr:uid="{00000000-0005-0000-0000-00000B1B0000}"/>
    <cellStyle name="Title 2 15" xfId="6938" xr:uid="{00000000-0005-0000-0000-00000C1B0000}"/>
    <cellStyle name="Title 2 16" xfId="6939" xr:uid="{00000000-0005-0000-0000-00000D1B0000}"/>
    <cellStyle name="Title 2 17" xfId="6940" xr:uid="{00000000-0005-0000-0000-00000E1B0000}"/>
    <cellStyle name="Title 2 2" xfId="6941" xr:uid="{00000000-0005-0000-0000-00000F1B0000}"/>
    <cellStyle name="Title 2 2 2" xfId="6942" xr:uid="{00000000-0005-0000-0000-0000101B0000}"/>
    <cellStyle name="Title 2 2 2 2" xfId="6943" xr:uid="{00000000-0005-0000-0000-0000111B0000}"/>
    <cellStyle name="Title 2 2 2 3" xfId="6944" xr:uid="{00000000-0005-0000-0000-0000121B0000}"/>
    <cellStyle name="Title 2 2 3" xfId="6945" xr:uid="{00000000-0005-0000-0000-0000131B0000}"/>
    <cellStyle name="Title 2 2 4" xfId="6946" xr:uid="{00000000-0005-0000-0000-0000141B0000}"/>
    <cellStyle name="Title 2 3" xfId="6947" xr:uid="{00000000-0005-0000-0000-0000151B0000}"/>
    <cellStyle name="Title 2 4" xfId="6948" xr:uid="{00000000-0005-0000-0000-0000161B0000}"/>
    <cellStyle name="Title 2 5" xfId="6949" xr:uid="{00000000-0005-0000-0000-0000171B0000}"/>
    <cellStyle name="Title 2 6" xfId="6950" xr:uid="{00000000-0005-0000-0000-0000181B0000}"/>
    <cellStyle name="Title 2 7" xfId="6951" xr:uid="{00000000-0005-0000-0000-0000191B0000}"/>
    <cellStyle name="Title 2 8" xfId="6952" xr:uid="{00000000-0005-0000-0000-00001A1B0000}"/>
    <cellStyle name="Title 2 9" xfId="6953" xr:uid="{00000000-0005-0000-0000-00001B1B0000}"/>
    <cellStyle name="Title 3" xfId="6954" xr:uid="{00000000-0005-0000-0000-00001C1B0000}"/>
    <cellStyle name="Title 3 2" xfId="6955" xr:uid="{00000000-0005-0000-0000-00001D1B0000}"/>
    <cellStyle name="Title 3 3" xfId="6956" xr:uid="{00000000-0005-0000-0000-00001E1B0000}"/>
    <cellStyle name="Title 4" xfId="6957" xr:uid="{00000000-0005-0000-0000-00001F1B0000}"/>
    <cellStyle name="Title Text" xfId="199" xr:uid="{00000000-0005-0000-0000-0000201B0000}"/>
    <cellStyle name="Title Text 1" xfId="200" xr:uid="{00000000-0005-0000-0000-0000211B0000}"/>
    <cellStyle name="Title Text 2" xfId="201" xr:uid="{00000000-0005-0000-0000-0000221B0000}"/>
    <cellStyle name="Title-1" xfId="202" xr:uid="{00000000-0005-0000-0000-0000231B0000}"/>
    <cellStyle name="Title-2" xfId="203" xr:uid="{00000000-0005-0000-0000-0000241B0000}"/>
    <cellStyle name="Title-3" xfId="204" xr:uid="{00000000-0005-0000-0000-0000251B0000}"/>
    <cellStyle name="Título" xfId="6958" xr:uid="{00000000-0005-0000-0000-0000261B0000}"/>
    <cellStyle name="Título 1" xfId="6959" xr:uid="{00000000-0005-0000-0000-0000271B0000}"/>
    <cellStyle name="Título 2" xfId="6960" xr:uid="{00000000-0005-0000-0000-0000281B0000}"/>
    <cellStyle name="Título 3" xfId="6961" xr:uid="{00000000-0005-0000-0000-0000291B0000}"/>
    <cellStyle name="Top" xfId="6962" xr:uid="{00000000-0005-0000-0000-00002A1B0000}"/>
    <cellStyle name="Total" xfId="24" builtinId="25" customBuiltin="1"/>
    <cellStyle name="Total 2" xfId="130" xr:uid="{00000000-0005-0000-0000-00002C1B0000}"/>
    <cellStyle name="Total 2 10" xfId="6963" xr:uid="{00000000-0005-0000-0000-00002D1B0000}"/>
    <cellStyle name="Total 2 11" xfId="6964" xr:uid="{00000000-0005-0000-0000-00002E1B0000}"/>
    <cellStyle name="Total 2 12" xfId="6965" xr:uid="{00000000-0005-0000-0000-00002F1B0000}"/>
    <cellStyle name="Total 2 13" xfId="6966" xr:uid="{00000000-0005-0000-0000-0000301B0000}"/>
    <cellStyle name="Total 2 14" xfId="6967" xr:uid="{00000000-0005-0000-0000-0000311B0000}"/>
    <cellStyle name="Total 2 15" xfId="6968" xr:uid="{00000000-0005-0000-0000-0000321B0000}"/>
    <cellStyle name="Total 2 16" xfId="6969" xr:uid="{00000000-0005-0000-0000-0000331B0000}"/>
    <cellStyle name="Total 2 16 2" xfId="6970" xr:uid="{00000000-0005-0000-0000-0000341B0000}"/>
    <cellStyle name="Total 2 17" xfId="6971" xr:uid="{00000000-0005-0000-0000-0000351B0000}"/>
    <cellStyle name="Total 2 2" xfId="6972" xr:uid="{00000000-0005-0000-0000-0000361B0000}"/>
    <cellStyle name="Total 2 2 2" xfId="6973" xr:uid="{00000000-0005-0000-0000-0000371B0000}"/>
    <cellStyle name="Total 2 2 2 2" xfId="6974" xr:uid="{00000000-0005-0000-0000-0000381B0000}"/>
    <cellStyle name="Total 2 2 2 3" xfId="6975" xr:uid="{00000000-0005-0000-0000-0000391B0000}"/>
    <cellStyle name="Total 2 2 3" xfId="6976" xr:uid="{00000000-0005-0000-0000-00003A1B0000}"/>
    <cellStyle name="Total 2 2 4" xfId="6977" xr:uid="{00000000-0005-0000-0000-00003B1B0000}"/>
    <cellStyle name="Total 2 3" xfId="6978" xr:uid="{00000000-0005-0000-0000-00003C1B0000}"/>
    <cellStyle name="Total 2 4" xfId="6979" xr:uid="{00000000-0005-0000-0000-00003D1B0000}"/>
    <cellStyle name="Total 2 5" xfId="6980" xr:uid="{00000000-0005-0000-0000-00003E1B0000}"/>
    <cellStyle name="Total 2 6" xfId="6981" xr:uid="{00000000-0005-0000-0000-00003F1B0000}"/>
    <cellStyle name="Total 2 7" xfId="6982" xr:uid="{00000000-0005-0000-0000-0000401B0000}"/>
    <cellStyle name="Total 2 8" xfId="6983" xr:uid="{00000000-0005-0000-0000-0000411B0000}"/>
    <cellStyle name="Total 2 9" xfId="6984" xr:uid="{00000000-0005-0000-0000-0000421B0000}"/>
    <cellStyle name="Total 3" xfId="6985" xr:uid="{00000000-0005-0000-0000-0000431B0000}"/>
    <cellStyle name="Total 3 2" xfId="6986" xr:uid="{00000000-0005-0000-0000-0000441B0000}"/>
    <cellStyle name="Total 3 3" xfId="6987" xr:uid="{00000000-0005-0000-0000-0000451B0000}"/>
    <cellStyle name="Total 4" xfId="6988" xr:uid="{00000000-0005-0000-0000-0000461B0000}"/>
    <cellStyle name="Total Lt Blue %" xfId="6989" xr:uid="{00000000-0005-0000-0000-0000471B0000}"/>
    <cellStyle name="Total Lt Blue % 2" xfId="6990" xr:uid="{00000000-0005-0000-0000-0000481B0000}"/>
    <cellStyle name="Total Lt Blue % 3" xfId="6991" xr:uid="{00000000-0005-0000-0000-0000491B0000}"/>
    <cellStyle name="Total Lt Blue % 4" xfId="6992" xr:uid="{00000000-0005-0000-0000-00004A1B0000}"/>
    <cellStyle name="Total Lt Blue % 5" xfId="6993" xr:uid="{00000000-0005-0000-0000-00004B1B0000}"/>
    <cellStyle name="Total Lt Blue % 6" xfId="6994" xr:uid="{00000000-0005-0000-0000-00004C1B0000}"/>
    <cellStyle name="Total Lt Blue % 7" xfId="6995" xr:uid="{00000000-0005-0000-0000-00004D1B0000}"/>
    <cellStyle name="Total Lt Blue % 8" xfId="6996" xr:uid="{00000000-0005-0000-0000-00004E1B0000}"/>
    <cellStyle name="Total Lt Blue % 9" xfId="6997" xr:uid="{00000000-0005-0000-0000-00004F1B0000}"/>
    <cellStyle name="unitprice" xfId="6998" xr:uid="{00000000-0005-0000-0000-0000501B0000}"/>
    <cellStyle name="Warning Text" xfId="22" builtinId="11" customBuiltin="1"/>
    <cellStyle name="Warning Text 2" xfId="131" xr:uid="{00000000-0005-0000-0000-0000521B0000}"/>
    <cellStyle name="Warning Text 2 10" xfId="6999" xr:uid="{00000000-0005-0000-0000-0000531B0000}"/>
    <cellStyle name="Warning Text 2 11" xfId="7000" xr:uid="{00000000-0005-0000-0000-0000541B0000}"/>
    <cellStyle name="Warning Text 2 12" xfId="7001" xr:uid="{00000000-0005-0000-0000-0000551B0000}"/>
    <cellStyle name="Warning Text 2 13" xfId="7002" xr:uid="{00000000-0005-0000-0000-0000561B0000}"/>
    <cellStyle name="Warning Text 2 14" xfId="7003" xr:uid="{00000000-0005-0000-0000-0000571B0000}"/>
    <cellStyle name="Warning Text 2 15" xfId="7004" xr:uid="{00000000-0005-0000-0000-0000581B0000}"/>
    <cellStyle name="Warning Text 2 16" xfId="7005" xr:uid="{00000000-0005-0000-0000-0000591B0000}"/>
    <cellStyle name="Warning Text 2 17" xfId="7006" xr:uid="{00000000-0005-0000-0000-00005A1B0000}"/>
    <cellStyle name="Warning Text 2 2" xfId="7007" xr:uid="{00000000-0005-0000-0000-00005B1B0000}"/>
    <cellStyle name="Warning Text 2 2 2" xfId="7008" xr:uid="{00000000-0005-0000-0000-00005C1B0000}"/>
    <cellStyle name="Warning Text 2 2 2 2" xfId="7009" xr:uid="{00000000-0005-0000-0000-00005D1B0000}"/>
    <cellStyle name="Warning Text 2 2 2 3" xfId="7010" xr:uid="{00000000-0005-0000-0000-00005E1B0000}"/>
    <cellStyle name="Warning Text 2 2 3" xfId="7011" xr:uid="{00000000-0005-0000-0000-00005F1B0000}"/>
    <cellStyle name="Warning Text 2 2 4" xfId="7012" xr:uid="{00000000-0005-0000-0000-0000601B0000}"/>
    <cellStyle name="Warning Text 2 3" xfId="7013" xr:uid="{00000000-0005-0000-0000-0000611B0000}"/>
    <cellStyle name="Warning Text 2 4" xfId="7014" xr:uid="{00000000-0005-0000-0000-0000621B0000}"/>
    <cellStyle name="Warning Text 2 5" xfId="7015" xr:uid="{00000000-0005-0000-0000-0000631B0000}"/>
    <cellStyle name="Warning Text 2 6" xfId="7016" xr:uid="{00000000-0005-0000-0000-0000641B0000}"/>
    <cellStyle name="Warning Text 2 7" xfId="7017" xr:uid="{00000000-0005-0000-0000-0000651B0000}"/>
    <cellStyle name="Warning Text 2 8" xfId="7018" xr:uid="{00000000-0005-0000-0000-0000661B0000}"/>
    <cellStyle name="Warning Text 2 9" xfId="7019" xr:uid="{00000000-0005-0000-0000-0000671B0000}"/>
    <cellStyle name="Warning Text 3" xfId="7020" xr:uid="{00000000-0005-0000-0000-0000681B0000}"/>
    <cellStyle name="Warning Text 3 2" xfId="7021" xr:uid="{00000000-0005-0000-0000-0000691B0000}"/>
    <cellStyle name="Warning Text 3 3" xfId="7022" xr:uid="{00000000-0005-0000-0000-00006A1B0000}"/>
    <cellStyle name="Warning Text 4" xfId="7023" xr:uid="{00000000-0005-0000-0000-00006B1B0000}"/>
    <cellStyle name="Wrap" xfId="205" xr:uid="{00000000-0005-0000-0000-00006C1B0000}"/>
    <cellStyle name="Wrap Bold" xfId="206" xr:uid="{00000000-0005-0000-0000-00006D1B0000}"/>
    <cellStyle name="Wrap Title" xfId="207" xr:uid="{00000000-0005-0000-0000-00006E1B0000}"/>
    <cellStyle name="Wrap_NTS99-~11" xfId="208" xr:uid="{00000000-0005-0000-0000-00006F1B0000}"/>
  </cellStyles>
  <dxfs count="37">
    <dxf>
      <fill>
        <patternFill patternType="solid">
          <bgColor theme="1"/>
        </patternFill>
      </fill>
    </dxf>
    <dxf>
      <font>
        <b/>
        <i val="0"/>
        <color rgb="FFFF0000"/>
      </font>
    </dxf>
    <dxf>
      <fill>
        <patternFill>
          <bgColor rgb="FFFFFF00"/>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DDDDD"/>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ont>
        <color rgb="FF00B050"/>
      </font>
    </dxf>
    <dxf>
      <font>
        <color rgb="FFFF0000"/>
      </font>
    </dxf>
    <dxf>
      <fill>
        <patternFill>
          <bgColor theme="0" tint="-0.14996795556505021"/>
        </patternFill>
      </fill>
    </dxf>
    <dxf>
      <fill>
        <patternFill>
          <bgColor theme="0" tint="-0.14996795556505021"/>
        </patternFill>
      </fill>
    </dxf>
    <dxf>
      <fill>
        <patternFill patternType="solid">
          <bgColor theme="1"/>
        </patternFill>
      </fill>
    </dxf>
    <dxf>
      <fill>
        <patternFill>
          <bgColor theme="0"/>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FFCC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epa.gov/green-book" TargetMode="External"/><Relationship Id="rId1" Type="http://schemas.openxmlformats.org/officeDocument/2006/relationships/hyperlink" Target="http://www.epa.gov/oaqps001/greenbk/"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transit.dot.gov/funding/grant-programs/capital-investments/regulations-guidanc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E196"/>
  <sheetViews>
    <sheetView tabSelected="1" zoomScaleNormal="100" workbookViewId="0">
      <selection activeCell="C100" sqref="C100"/>
    </sheetView>
  </sheetViews>
  <sheetFormatPr defaultColWidth="9.33203125" defaultRowHeight="10"/>
  <cols>
    <col min="1" max="1" width="26.6640625" style="480" customWidth="1"/>
    <col min="2" max="2" width="43.109375" style="480" customWidth="1"/>
    <col min="3" max="4" width="30.109375" style="480" customWidth="1"/>
    <col min="5" max="16384" width="9.33203125" style="479"/>
  </cols>
  <sheetData>
    <row r="1" spans="1:4" ht="20.25" customHeight="1" thickBot="1">
      <c r="A1" s="648" t="s">
        <v>500</v>
      </c>
      <c r="B1" s="649"/>
      <c r="C1" s="649"/>
      <c r="D1" s="650"/>
    </row>
    <row r="2" spans="1:4" s="100" customFormat="1" ht="16" thickBot="1">
      <c r="A2" s="14" t="s">
        <v>0</v>
      </c>
      <c r="B2" s="666"/>
      <c r="C2" s="667"/>
      <c r="D2" s="668"/>
    </row>
    <row r="3" spans="1:4" s="487" customFormat="1" ht="13.5" thickBot="1">
      <c r="A3" s="663" t="s">
        <v>1</v>
      </c>
      <c r="B3" s="664"/>
      <c r="C3" s="664"/>
      <c r="D3" s="665"/>
    </row>
    <row r="4" spans="1:4" s="487" customFormat="1" ht="13">
      <c r="A4" s="628" t="s">
        <v>2</v>
      </c>
      <c r="B4" s="445" t="s">
        <v>3</v>
      </c>
      <c r="C4" s="669"/>
      <c r="D4" s="670"/>
    </row>
    <row r="5" spans="1:4" s="487" customFormat="1" ht="13">
      <c r="A5" s="629"/>
      <c r="B5" s="15" t="s">
        <v>4</v>
      </c>
      <c r="C5" s="620"/>
      <c r="D5" s="621"/>
    </row>
    <row r="6" spans="1:4" s="487" customFormat="1" ht="13">
      <c r="A6" s="629"/>
      <c r="B6" s="15" t="s">
        <v>5</v>
      </c>
      <c r="C6" s="620"/>
      <c r="D6" s="621"/>
    </row>
    <row r="7" spans="1:4" s="487" customFormat="1" ht="13">
      <c r="A7" s="629"/>
      <c r="B7" s="15" t="s">
        <v>6</v>
      </c>
      <c r="C7" s="620"/>
      <c r="D7" s="621"/>
    </row>
    <row r="8" spans="1:4" s="487" customFormat="1" ht="13">
      <c r="A8" s="629"/>
      <c r="B8" s="16" t="s">
        <v>7</v>
      </c>
      <c r="C8" s="620"/>
      <c r="D8" s="621"/>
    </row>
    <row r="9" spans="1:4" s="487" customFormat="1" ht="13.5" thickBot="1">
      <c r="A9" s="630"/>
      <c r="B9" s="17" t="s">
        <v>8</v>
      </c>
      <c r="C9" s="622"/>
      <c r="D9" s="623"/>
    </row>
    <row r="10" spans="1:4" s="487" customFormat="1" ht="13">
      <c r="A10" s="628" t="s">
        <v>9</v>
      </c>
      <c r="B10" s="18" t="s">
        <v>3</v>
      </c>
      <c r="C10" s="631"/>
      <c r="D10" s="632"/>
    </row>
    <row r="11" spans="1:4" s="487" customFormat="1" ht="13">
      <c r="A11" s="629"/>
      <c r="B11" s="16" t="s">
        <v>4</v>
      </c>
      <c r="C11" s="620"/>
      <c r="D11" s="621"/>
    </row>
    <row r="12" spans="1:4" s="487" customFormat="1" ht="13">
      <c r="A12" s="629"/>
      <c r="B12" s="16" t="s">
        <v>5</v>
      </c>
      <c r="C12" s="620"/>
      <c r="D12" s="621"/>
    </row>
    <row r="13" spans="1:4" s="487" customFormat="1" ht="13">
      <c r="A13" s="629"/>
      <c r="B13" s="16" t="s">
        <v>6</v>
      </c>
      <c r="C13" s="620"/>
      <c r="D13" s="621"/>
    </row>
    <row r="14" spans="1:4" s="487" customFormat="1" ht="13">
      <c r="A14" s="629"/>
      <c r="B14" s="16" t="s">
        <v>7</v>
      </c>
      <c r="C14" s="620"/>
      <c r="D14" s="621"/>
    </row>
    <row r="15" spans="1:4" s="487" customFormat="1" ht="13.5" thickBot="1">
      <c r="A15" s="630"/>
      <c r="B15" s="17" t="s">
        <v>8</v>
      </c>
      <c r="C15" s="622"/>
      <c r="D15" s="623"/>
    </row>
    <row r="16" spans="1:4" s="487" customFormat="1" ht="13">
      <c r="A16" s="628" t="s">
        <v>10</v>
      </c>
      <c r="B16" s="18" t="s">
        <v>3</v>
      </c>
      <c r="C16" s="631"/>
      <c r="D16" s="632"/>
    </row>
    <row r="17" spans="1:4" s="487" customFormat="1" ht="13">
      <c r="A17" s="629"/>
      <c r="B17" s="16" t="s">
        <v>4</v>
      </c>
      <c r="C17" s="620"/>
      <c r="D17" s="621"/>
    </row>
    <row r="18" spans="1:4" s="487" customFormat="1" ht="13">
      <c r="A18" s="629"/>
      <c r="B18" s="16" t="s">
        <v>5</v>
      </c>
      <c r="C18" s="620"/>
      <c r="D18" s="621"/>
    </row>
    <row r="19" spans="1:4" s="487" customFormat="1" ht="13">
      <c r="A19" s="629"/>
      <c r="B19" s="16" t="s">
        <v>6</v>
      </c>
      <c r="C19" s="620"/>
      <c r="D19" s="621"/>
    </row>
    <row r="20" spans="1:4" s="487" customFormat="1" ht="13">
      <c r="A20" s="629"/>
      <c r="B20" s="16" t="s">
        <v>7</v>
      </c>
      <c r="C20" s="620"/>
      <c r="D20" s="621"/>
    </row>
    <row r="21" spans="1:4" s="487" customFormat="1" ht="13.5" thickBot="1">
      <c r="A21" s="630"/>
      <c r="B21" s="17" t="s">
        <v>8</v>
      </c>
      <c r="C21" s="622"/>
      <c r="D21" s="623"/>
    </row>
    <row r="22" spans="1:4" s="487" customFormat="1" ht="13">
      <c r="A22" s="628" t="s">
        <v>11</v>
      </c>
      <c r="B22" s="18" t="s">
        <v>3</v>
      </c>
      <c r="C22" s="631"/>
      <c r="D22" s="632"/>
    </row>
    <row r="23" spans="1:4" s="487" customFormat="1" ht="13">
      <c r="A23" s="629"/>
      <c r="B23" s="16" t="s">
        <v>4</v>
      </c>
      <c r="C23" s="620"/>
      <c r="D23" s="621"/>
    </row>
    <row r="24" spans="1:4" s="487" customFormat="1" ht="13">
      <c r="A24" s="629"/>
      <c r="B24" s="16" t="s">
        <v>5</v>
      </c>
      <c r="C24" s="620"/>
      <c r="D24" s="621"/>
    </row>
    <row r="25" spans="1:4" s="487" customFormat="1" ht="13">
      <c r="A25" s="629"/>
      <c r="B25" s="16" t="s">
        <v>6</v>
      </c>
      <c r="C25" s="620"/>
      <c r="D25" s="621"/>
    </row>
    <row r="26" spans="1:4" s="487" customFormat="1" ht="13">
      <c r="A26" s="629"/>
      <c r="B26" s="16" t="s">
        <v>7</v>
      </c>
      <c r="C26" s="620"/>
      <c r="D26" s="621"/>
    </row>
    <row r="27" spans="1:4" s="487" customFormat="1" ht="13.5" thickBot="1">
      <c r="A27" s="630"/>
      <c r="B27" s="17" t="s">
        <v>8</v>
      </c>
      <c r="C27" s="622"/>
      <c r="D27" s="623"/>
    </row>
    <row r="28" spans="1:4" s="487" customFormat="1" ht="13">
      <c r="A28" s="628" t="s">
        <v>12</v>
      </c>
      <c r="B28" s="18" t="s">
        <v>3</v>
      </c>
      <c r="C28" s="631"/>
      <c r="D28" s="632"/>
    </row>
    <row r="29" spans="1:4" s="487" customFormat="1" ht="13">
      <c r="A29" s="629"/>
      <c r="B29" s="16" t="s">
        <v>4</v>
      </c>
      <c r="C29" s="620"/>
      <c r="D29" s="621"/>
    </row>
    <row r="30" spans="1:4" s="487" customFormat="1" ht="13">
      <c r="A30" s="629"/>
      <c r="B30" s="16" t="s">
        <v>5</v>
      </c>
      <c r="C30" s="620"/>
      <c r="D30" s="621"/>
    </row>
    <row r="31" spans="1:4" s="487" customFormat="1" ht="13">
      <c r="A31" s="629"/>
      <c r="B31" s="16" t="s">
        <v>6</v>
      </c>
      <c r="C31" s="620"/>
      <c r="D31" s="621"/>
    </row>
    <row r="32" spans="1:4" s="487" customFormat="1" ht="13">
      <c r="A32" s="629"/>
      <c r="B32" s="16" t="s">
        <v>7</v>
      </c>
      <c r="C32" s="620"/>
      <c r="D32" s="621"/>
    </row>
    <row r="33" spans="1:5" s="487" customFormat="1" ht="13.5" thickBot="1">
      <c r="A33" s="630"/>
      <c r="B33" s="17" t="s">
        <v>8</v>
      </c>
      <c r="C33" s="622"/>
      <c r="D33" s="623"/>
      <c r="E33" s="396"/>
    </row>
    <row r="34" spans="1:5" s="487" customFormat="1" ht="13">
      <c r="A34" s="628" t="s">
        <v>12</v>
      </c>
      <c r="B34" s="18" t="s">
        <v>3</v>
      </c>
      <c r="C34" s="631"/>
      <c r="D34" s="632"/>
      <c r="E34" s="396"/>
    </row>
    <row r="35" spans="1:5" s="487" customFormat="1" ht="13">
      <c r="A35" s="629"/>
      <c r="B35" s="16" t="s">
        <v>4</v>
      </c>
      <c r="C35" s="620"/>
      <c r="D35" s="621"/>
      <c r="E35" s="396"/>
    </row>
    <row r="36" spans="1:5" s="487" customFormat="1" ht="13">
      <c r="A36" s="629"/>
      <c r="B36" s="16" t="s">
        <v>5</v>
      </c>
      <c r="C36" s="620"/>
      <c r="D36" s="621"/>
      <c r="E36" s="396"/>
    </row>
    <row r="37" spans="1:5" s="487" customFormat="1" ht="13">
      <c r="A37" s="629"/>
      <c r="B37" s="16" t="s">
        <v>6</v>
      </c>
      <c r="C37" s="620"/>
      <c r="D37" s="621"/>
      <c r="E37" s="396"/>
    </row>
    <row r="38" spans="1:5" s="487" customFormat="1" ht="13">
      <c r="A38" s="629"/>
      <c r="B38" s="16" t="s">
        <v>7</v>
      </c>
      <c r="C38" s="620"/>
      <c r="D38" s="621"/>
      <c r="E38" s="396"/>
    </row>
    <row r="39" spans="1:5" s="487" customFormat="1" ht="13.5" thickBot="1">
      <c r="A39" s="630"/>
      <c r="B39" s="17" t="s">
        <v>8</v>
      </c>
      <c r="C39" s="622"/>
      <c r="D39" s="623"/>
      <c r="E39" s="396"/>
    </row>
    <row r="40" spans="1:5" s="487" customFormat="1" ht="13">
      <c r="A40" s="628" t="s">
        <v>12</v>
      </c>
      <c r="B40" s="18" t="s">
        <v>3</v>
      </c>
      <c r="C40" s="631"/>
      <c r="D40" s="632"/>
      <c r="E40" s="396"/>
    </row>
    <row r="41" spans="1:5" s="487" customFormat="1" ht="13">
      <c r="A41" s="629"/>
      <c r="B41" s="16" t="s">
        <v>4</v>
      </c>
      <c r="C41" s="620"/>
      <c r="D41" s="621"/>
      <c r="E41" s="396"/>
    </row>
    <row r="42" spans="1:5" s="487" customFormat="1" ht="13">
      <c r="A42" s="629"/>
      <c r="B42" s="16" t="s">
        <v>5</v>
      </c>
      <c r="C42" s="620"/>
      <c r="D42" s="621"/>
      <c r="E42" s="396"/>
    </row>
    <row r="43" spans="1:5" s="487" customFormat="1" ht="13">
      <c r="A43" s="629"/>
      <c r="B43" s="16" t="s">
        <v>6</v>
      </c>
      <c r="C43" s="620"/>
      <c r="D43" s="621"/>
      <c r="E43" s="396"/>
    </row>
    <row r="44" spans="1:5" s="487" customFormat="1" ht="13">
      <c r="A44" s="629"/>
      <c r="B44" s="16" t="s">
        <v>7</v>
      </c>
      <c r="C44" s="620"/>
      <c r="D44" s="621"/>
      <c r="E44" s="396"/>
    </row>
    <row r="45" spans="1:5" s="487" customFormat="1" ht="13.5" thickBot="1">
      <c r="A45" s="630"/>
      <c r="B45" s="17" t="s">
        <v>8</v>
      </c>
      <c r="C45" s="622"/>
      <c r="D45" s="623"/>
      <c r="E45" s="396"/>
    </row>
    <row r="46" spans="1:5" s="480" customFormat="1" ht="16" thickBot="1">
      <c r="A46" s="19"/>
      <c r="B46" s="353"/>
      <c r="C46" s="353"/>
      <c r="D46" s="353"/>
      <c r="E46" s="353"/>
    </row>
    <row r="47" spans="1:5" ht="18.5" thickBot="1">
      <c r="A47" s="648" t="s">
        <v>13</v>
      </c>
      <c r="B47" s="649"/>
      <c r="C47" s="649"/>
      <c r="D47" s="650"/>
      <c r="E47" s="478"/>
    </row>
    <row r="48" spans="1:5" ht="13.5" thickBot="1">
      <c r="A48" s="660" t="s">
        <v>14</v>
      </c>
      <c r="B48" s="20" t="s">
        <v>15</v>
      </c>
      <c r="C48" s="651"/>
      <c r="D48" s="652"/>
      <c r="E48" s="488" t="str">
        <f>IF(OR(ISNUMBER(C48),C48=""),"","Please enter only the length in miles; do not include any text")</f>
        <v/>
      </c>
    </row>
    <row r="49" spans="1:4" ht="13.5" thickBot="1">
      <c r="A49" s="661"/>
      <c r="B49" s="21" t="s">
        <v>16</v>
      </c>
      <c r="C49" s="675"/>
      <c r="D49" s="676"/>
    </row>
    <row r="50" spans="1:4" ht="13.5" thickBot="1">
      <c r="A50" s="661"/>
      <c r="B50" s="21" t="s">
        <v>17</v>
      </c>
      <c r="C50" s="651"/>
      <c r="D50" s="652"/>
    </row>
    <row r="51" spans="1:4" ht="12.5">
      <c r="A51" s="661"/>
      <c r="B51" s="628" t="s">
        <v>18</v>
      </c>
      <c r="C51" s="626"/>
      <c r="D51" s="627"/>
    </row>
    <row r="52" spans="1:4" ht="12.5">
      <c r="A52" s="661"/>
      <c r="B52" s="629"/>
      <c r="C52" s="620"/>
      <c r="D52" s="621"/>
    </row>
    <row r="53" spans="1:4" ht="12.5">
      <c r="A53" s="661"/>
      <c r="B53" s="629"/>
      <c r="C53" s="620"/>
      <c r="D53" s="621"/>
    </row>
    <row r="54" spans="1:4" ht="12.5">
      <c r="A54" s="661"/>
      <c r="B54" s="629"/>
      <c r="C54" s="620"/>
      <c r="D54" s="621"/>
    </row>
    <row r="55" spans="1:4" ht="12.5">
      <c r="A55" s="661"/>
      <c r="B55" s="629"/>
      <c r="C55" s="620"/>
      <c r="D55" s="621"/>
    </row>
    <row r="56" spans="1:4" ht="12.5">
      <c r="A56" s="661"/>
      <c r="B56" s="629"/>
      <c r="C56" s="620"/>
      <c r="D56" s="621"/>
    </row>
    <row r="57" spans="1:4" ht="12.5">
      <c r="A57" s="661"/>
      <c r="B57" s="629"/>
      <c r="C57" s="620"/>
      <c r="D57" s="621"/>
    </row>
    <row r="58" spans="1:4" ht="12.5">
      <c r="A58" s="661"/>
      <c r="B58" s="629"/>
      <c r="C58" s="620"/>
      <c r="D58" s="621"/>
    </row>
    <row r="59" spans="1:4" ht="12.5">
      <c r="A59" s="661"/>
      <c r="B59" s="629"/>
      <c r="C59" s="620"/>
      <c r="D59" s="621"/>
    </row>
    <row r="60" spans="1:4" ht="12.5">
      <c r="A60" s="661"/>
      <c r="B60" s="629"/>
      <c r="C60" s="620"/>
      <c r="D60" s="621"/>
    </row>
    <row r="61" spans="1:4" ht="12.5">
      <c r="A61" s="661"/>
      <c r="B61" s="629"/>
      <c r="C61" s="620"/>
      <c r="D61" s="621"/>
    </row>
    <row r="62" spans="1:4" ht="12.5">
      <c r="A62" s="661"/>
      <c r="B62" s="629"/>
      <c r="C62" s="620"/>
      <c r="D62" s="621"/>
    </row>
    <row r="63" spans="1:4" ht="12.5">
      <c r="A63" s="661"/>
      <c r="B63" s="629"/>
      <c r="C63" s="620"/>
      <c r="D63" s="621"/>
    </row>
    <row r="64" spans="1:4" ht="12.5">
      <c r="A64" s="661"/>
      <c r="B64" s="629"/>
      <c r="C64" s="620"/>
      <c r="D64" s="621"/>
    </row>
    <row r="65" spans="1:4" ht="12.5">
      <c r="A65" s="661"/>
      <c r="B65" s="629"/>
      <c r="C65" s="620"/>
      <c r="D65" s="621"/>
    </row>
    <row r="66" spans="1:4" ht="12.5">
      <c r="A66" s="661"/>
      <c r="B66" s="629"/>
      <c r="C66" s="620"/>
      <c r="D66" s="621"/>
    </row>
    <row r="67" spans="1:4" ht="12.5">
      <c r="A67" s="661"/>
      <c r="B67" s="629"/>
      <c r="C67" s="620"/>
      <c r="D67" s="621"/>
    </row>
    <row r="68" spans="1:4" ht="12.5">
      <c r="A68" s="661"/>
      <c r="B68" s="629"/>
      <c r="C68" s="620"/>
      <c r="D68" s="621"/>
    </row>
    <row r="69" spans="1:4" ht="12.5">
      <c r="A69" s="661"/>
      <c r="B69" s="629"/>
      <c r="C69" s="620"/>
      <c r="D69" s="621"/>
    </row>
    <row r="70" spans="1:4" ht="13" thickBot="1">
      <c r="A70" s="661"/>
      <c r="B70" s="630"/>
      <c r="C70" s="653"/>
      <c r="D70" s="654"/>
    </row>
    <row r="71" spans="1:4" ht="12.5">
      <c r="A71" s="661"/>
      <c r="B71" s="628" t="s">
        <v>19</v>
      </c>
      <c r="C71" s="626"/>
      <c r="D71" s="627"/>
    </row>
    <row r="72" spans="1:4" ht="12.5">
      <c r="A72" s="661"/>
      <c r="B72" s="629"/>
      <c r="C72" s="620"/>
      <c r="D72" s="621"/>
    </row>
    <row r="73" spans="1:4" ht="12.5">
      <c r="A73" s="661"/>
      <c r="B73" s="629"/>
      <c r="C73" s="620"/>
      <c r="D73" s="621"/>
    </row>
    <row r="74" spans="1:4" ht="12.5">
      <c r="A74" s="661"/>
      <c r="B74" s="629"/>
      <c r="C74" s="620"/>
      <c r="D74" s="621"/>
    </row>
    <row r="75" spans="1:4" ht="12.5">
      <c r="A75" s="661"/>
      <c r="B75" s="629"/>
      <c r="C75" s="620"/>
      <c r="D75" s="621"/>
    </row>
    <row r="76" spans="1:4" ht="12.5">
      <c r="A76" s="661"/>
      <c r="B76" s="629"/>
      <c r="C76" s="620"/>
      <c r="D76" s="621"/>
    </row>
    <row r="77" spans="1:4" ht="12.5">
      <c r="A77" s="661"/>
      <c r="B77" s="629"/>
      <c r="C77" s="620"/>
      <c r="D77" s="621"/>
    </row>
    <row r="78" spans="1:4" ht="12.5">
      <c r="A78" s="661"/>
      <c r="B78" s="629"/>
      <c r="C78" s="620"/>
      <c r="D78" s="621"/>
    </row>
    <row r="79" spans="1:4" ht="12.5">
      <c r="A79" s="661"/>
      <c r="B79" s="629"/>
      <c r="C79" s="620"/>
      <c r="D79" s="621"/>
    </row>
    <row r="80" spans="1:4" ht="12.5">
      <c r="A80" s="661"/>
      <c r="B80" s="629"/>
      <c r="C80" s="620"/>
      <c r="D80" s="621"/>
    </row>
    <row r="81" spans="1:5" ht="13" thickBot="1">
      <c r="A81" s="661"/>
      <c r="B81" s="630"/>
      <c r="C81" s="653"/>
      <c r="D81" s="654"/>
      <c r="E81" s="478"/>
    </row>
    <row r="82" spans="1:5" ht="13.5" thickBot="1">
      <c r="A82" s="662"/>
      <c r="B82" s="21" t="s">
        <v>20</v>
      </c>
      <c r="C82" s="651"/>
      <c r="D82" s="652"/>
      <c r="E82" s="478"/>
    </row>
    <row r="83" spans="1:5" ht="13.5" thickBot="1">
      <c r="A83" s="628" t="s">
        <v>21</v>
      </c>
      <c r="B83" s="21" t="s">
        <v>22</v>
      </c>
      <c r="C83" s="651"/>
      <c r="D83" s="652"/>
      <c r="E83" s="478"/>
    </row>
    <row r="84" spans="1:5" ht="13.5" thickBot="1">
      <c r="A84" s="629"/>
      <c r="B84" s="21" t="s">
        <v>23</v>
      </c>
      <c r="C84" s="651"/>
      <c r="D84" s="652"/>
      <c r="E84" s="478"/>
    </row>
    <row r="85" spans="1:5" ht="13.5" thickBot="1">
      <c r="A85" s="629"/>
      <c r="B85" s="21" t="s">
        <v>24</v>
      </c>
      <c r="C85" s="651"/>
      <c r="D85" s="652"/>
      <c r="E85" s="478"/>
    </row>
    <row r="86" spans="1:5" ht="13.5" thickBot="1">
      <c r="A86" s="629"/>
      <c r="B86" s="21" t="s">
        <v>25</v>
      </c>
      <c r="C86" s="651"/>
      <c r="D86" s="652"/>
      <c r="E86" s="478"/>
    </row>
    <row r="87" spans="1:5" ht="13.5" thickBot="1">
      <c r="A87" s="630"/>
      <c r="B87" s="21" t="s">
        <v>26</v>
      </c>
      <c r="C87" s="651"/>
      <c r="D87" s="652"/>
      <c r="E87" s="478"/>
    </row>
    <row r="88" spans="1:5" ht="27.75" customHeight="1" thickBot="1">
      <c r="A88" s="660" t="s">
        <v>27</v>
      </c>
      <c r="B88" s="21" t="s">
        <v>28</v>
      </c>
      <c r="C88" s="651"/>
      <c r="D88" s="652"/>
      <c r="E88" s="478"/>
    </row>
    <row r="89" spans="1:5" ht="27.75" customHeight="1" thickBot="1">
      <c r="A89" s="662"/>
      <c r="B89" s="21" t="s">
        <v>29</v>
      </c>
      <c r="C89" s="651"/>
      <c r="D89" s="652"/>
      <c r="E89" s="478"/>
    </row>
    <row r="90" spans="1:5" s="480" customFormat="1" ht="16" thickBot="1">
      <c r="A90" s="19"/>
      <c r="B90" s="353"/>
      <c r="C90" s="353"/>
      <c r="D90" s="353"/>
      <c r="E90" s="353"/>
    </row>
    <row r="91" spans="1:5" ht="21.75" customHeight="1" thickBot="1">
      <c r="A91" s="648" t="s">
        <v>30</v>
      </c>
      <c r="B91" s="649"/>
      <c r="C91" s="649"/>
      <c r="D91" s="650"/>
      <c r="E91" s="478"/>
    </row>
    <row r="92" spans="1:5" s="487" customFormat="1" ht="13">
      <c r="A92" s="682" t="s">
        <v>31</v>
      </c>
      <c r="B92" s="683"/>
      <c r="C92" s="626" t="s">
        <v>52</v>
      </c>
      <c r="D92" s="627"/>
      <c r="E92" s="489"/>
    </row>
    <row r="93" spans="1:5" s="487" customFormat="1" ht="13.5" thickBot="1">
      <c r="A93" s="686" t="str">
        <f>IF(C92="Yes","   Specify existing weekday transit trips in the corridor","")</f>
        <v/>
      </c>
      <c r="B93" s="687"/>
      <c r="C93" s="684"/>
      <c r="D93" s="685"/>
      <c r="E93" s="490"/>
    </row>
    <row r="94" spans="1:5" s="487" customFormat="1" ht="13.5" thickBot="1">
      <c r="A94" s="83" t="s">
        <v>32</v>
      </c>
      <c r="B94" s="437"/>
      <c r="C94" s="437"/>
      <c r="D94" s="443"/>
      <c r="E94" s="396"/>
    </row>
    <row r="95" spans="1:5" s="487" customFormat="1" ht="27.75" customHeight="1" thickBot="1">
      <c r="A95" s="229" t="s">
        <v>33</v>
      </c>
      <c r="B95" s="230" t="s">
        <v>34</v>
      </c>
      <c r="C95" s="230" t="str">
        <f>IF(C92&lt;&gt;"Yes","Horizon","")</f>
        <v>Horizon</v>
      </c>
      <c r="D95" s="443" t="str">
        <f>IF(C92&lt;&gt;"Yes","Exact Horizon Year"&amp;CHAR(10)&amp;"(e.g., 2045)","")</f>
        <v>Exact Horizon Year
(e.g., 2045)</v>
      </c>
      <c r="E95" s="396"/>
    </row>
    <row r="96" spans="1:5" s="487" customFormat="1" ht="13" thickBot="1">
      <c r="A96" s="355"/>
      <c r="B96" s="356"/>
      <c r="C96" s="356" t="s">
        <v>499</v>
      </c>
      <c r="D96" s="357"/>
    </row>
    <row r="97" spans="1:4" s="487" customFormat="1" ht="13.5" thickBot="1">
      <c r="A97" s="660" t="s">
        <v>35</v>
      </c>
      <c r="B97" s="21" t="s">
        <v>507</v>
      </c>
      <c r="C97" s="679">
        <f>+Finance!B4</f>
        <v>0</v>
      </c>
      <c r="D97" s="680"/>
    </row>
    <row r="98" spans="1:4" s="487" customFormat="1" ht="13.5" thickBot="1">
      <c r="A98" s="662"/>
      <c r="B98" s="21" t="s">
        <v>36</v>
      </c>
      <c r="C98" s="679">
        <f>+Finance!E4</f>
        <v>0</v>
      </c>
      <c r="D98" s="680"/>
    </row>
    <row r="99" spans="1:4" s="487" customFormat="1" ht="13.5" thickBot="1">
      <c r="A99" s="660" t="s">
        <v>37</v>
      </c>
      <c r="B99" s="22" t="s">
        <v>38</v>
      </c>
      <c r="C99" s="95" t="s">
        <v>34</v>
      </c>
      <c r="D99" s="442" t="s">
        <v>39</v>
      </c>
    </row>
    <row r="100" spans="1:4" s="487" customFormat="1" ht="13">
      <c r="A100" s="661"/>
      <c r="B100" s="23" t="s">
        <v>40</v>
      </c>
      <c r="C100" s="310"/>
      <c r="D100" s="446"/>
    </row>
    <row r="101" spans="1:4" s="487" customFormat="1" ht="13">
      <c r="A101" s="661"/>
      <c r="B101" s="23" t="s">
        <v>41</v>
      </c>
      <c r="C101" s="311"/>
      <c r="D101" s="312"/>
    </row>
    <row r="102" spans="1:4" s="487" customFormat="1" ht="13">
      <c r="A102" s="661"/>
      <c r="B102" s="23" t="s">
        <v>42</v>
      </c>
      <c r="C102" s="311"/>
      <c r="D102" s="312"/>
    </row>
    <row r="103" spans="1:4" s="487" customFormat="1" ht="13.5" thickBot="1">
      <c r="A103" s="661"/>
      <c r="B103" s="24" t="s">
        <v>43</v>
      </c>
      <c r="C103" s="313"/>
      <c r="D103" s="314"/>
    </row>
    <row r="104" spans="1:4" s="487" customFormat="1" ht="13.5" thickBot="1">
      <c r="A104" s="661"/>
      <c r="B104" s="22" t="s">
        <v>44</v>
      </c>
      <c r="C104" s="95" t="s">
        <v>34</v>
      </c>
      <c r="D104" s="95" t="s">
        <v>39</v>
      </c>
    </row>
    <row r="105" spans="1:4" s="487" customFormat="1" ht="13">
      <c r="A105" s="661"/>
      <c r="B105" s="23" t="s">
        <v>45</v>
      </c>
      <c r="C105" s="315"/>
      <c r="D105" s="432"/>
    </row>
    <row r="106" spans="1:4" s="487" customFormat="1" ht="13.5" thickBot="1">
      <c r="A106" s="662"/>
      <c r="B106" s="24" t="s">
        <v>43</v>
      </c>
      <c r="C106" s="316"/>
      <c r="D106" s="435"/>
    </row>
    <row r="107" spans="1:4" s="487" customFormat="1" ht="13.5" thickBot="1">
      <c r="A107" s="658" t="str">
        <f>IF(C92&lt;&gt;"Yes","Type of Model Used for Travel Forecasts","")</f>
        <v>Type of Model Used for Travel Forecasts</v>
      </c>
      <c r="B107" s="659"/>
      <c r="C107" s="675" t="s">
        <v>46</v>
      </c>
      <c r="D107" s="676"/>
    </row>
    <row r="108" spans="1:4" s="487" customFormat="1" ht="13" thickBot="1">
      <c r="A108" s="658" t="str">
        <f>IF(C92&lt;&gt;"Yes","Fare Policy Assumptions Used in Travel Forecasts [footnote 1]","")</f>
        <v>Fare Policy Assumptions Used in Travel Forecasts [footnote 1]</v>
      </c>
      <c r="B108" s="681"/>
      <c r="C108" s="673"/>
      <c r="D108" s="674"/>
    </row>
    <row r="109" spans="1:4" s="487" customFormat="1" ht="27.75" customHeight="1" thickBot="1">
      <c r="A109" s="671" t="s">
        <v>47</v>
      </c>
      <c r="B109" s="672"/>
      <c r="C109" s="673"/>
      <c r="D109" s="674"/>
    </row>
    <row r="110" spans="1:4" s="487" customFormat="1" ht="13.5" thickBot="1">
      <c r="A110" s="641" t="s">
        <v>48</v>
      </c>
      <c r="B110" s="655" t="s">
        <v>49</v>
      </c>
      <c r="C110" s="656"/>
      <c r="D110" s="657"/>
    </row>
    <row r="111" spans="1:4" s="487" customFormat="1" ht="13.5" thickBot="1">
      <c r="A111" s="642"/>
      <c r="B111" s="645" t="s">
        <v>50</v>
      </c>
      <c r="C111" s="646"/>
      <c r="D111" s="647"/>
    </row>
    <row r="112" spans="1:4" s="487" customFormat="1" ht="13">
      <c r="A112" s="642"/>
      <c r="B112" s="677" t="s">
        <v>51</v>
      </c>
      <c r="C112" s="678"/>
      <c r="D112" s="315" t="s">
        <v>52</v>
      </c>
    </row>
    <row r="113" spans="1:4" s="487" customFormat="1" ht="13">
      <c r="A113" s="642"/>
      <c r="B113" s="639" t="s">
        <v>53</v>
      </c>
      <c r="C113" s="640"/>
      <c r="D113" s="176"/>
    </row>
    <row r="114" spans="1:4" s="487" customFormat="1" ht="13">
      <c r="A114" s="642"/>
      <c r="B114" s="644" t="str">
        <f>IF(D112="Environmental Impact Statement (EIS)","Notice of Intent",IF(D112="Environmental Assessment (EA)","Finding of No Significant Impact (FONSI)",IF(D112="Categorical Exclusion (CE)","Receipt of CE","(Select NEPA class of action above)")))</f>
        <v>(Select NEPA class of action above)</v>
      </c>
      <c r="C114" s="640"/>
      <c r="D114" s="176"/>
    </row>
    <row r="115" spans="1:4" s="487" customFormat="1" ht="13">
      <c r="A115" s="642"/>
      <c r="B115" s="639" t="str">
        <f>IF(D112="Environmental Impact Statement (EIS)","Publication of DEIS","")</f>
        <v/>
      </c>
      <c r="C115" s="640"/>
      <c r="D115" s="176"/>
    </row>
    <row r="116" spans="1:4" s="487" customFormat="1" ht="13">
      <c r="A116" s="642"/>
      <c r="B116" s="639" t="str">
        <f>IF(D112="Environmental Impact Statement (EIS)","Publication of FEIS","")</f>
        <v/>
      </c>
      <c r="C116" s="640"/>
      <c r="D116" s="176"/>
    </row>
    <row r="117" spans="1:4" s="487" customFormat="1" ht="13">
      <c r="A117" s="642"/>
      <c r="B117" s="639" t="str">
        <f>IF(D112="Environmental Impact Statement (EIS)","Record of Decision","")</f>
        <v/>
      </c>
      <c r="C117" s="640"/>
      <c r="D117" s="176"/>
    </row>
    <row r="118" spans="1:4" s="487" customFormat="1" ht="13">
      <c r="A118" s="642"/>
      <c r="B118" s="639" t="s">
        <v>54</v>
      </c>
      <c r="C118" s="640"/>
      <c r="D118" s="176"/>
    </row>
    <row r="119" spans="1:4" s="487" customFormat="1" ht="13">
      <c r="A119" s="642"/>
      <c r="B119" s="639" t="s">
        <v>55</v>
      </c>
      <c r="C119" s="640"/>
      <c r="D119" s="176"/>
    </row>
    <row r="120" spans="1:4" s="487" customFormat="1" ht="13">
      <c r="A120" s="642"/>
      <c r="B120" s="639" t="s">
        <v>56</v>
      </c>
      <c r="C120" s="640"/>
      <c r="D120" s="176"/>
    </row>
    <row r="121" spans="1:4" s="487" customFormat="1" ht="13">
      <c r="A121" s="642"/>
      <c r="B121" s="639" t="s">
        <v>57</v>
      </c>
      <c r="C121" s="640"/>
      <c r="D121" s="176"/>
    </row>
    <row r="122" spans="1:4" s="487" customFormat="1" ht="13">
      <c r="A122" s="642"/>
      <c r="B122" s="639" t="s">
        <v>58</v>
      </c>
      <c r="C122" s="640"/>
      <c r="D122" s="176"/>
    </row>
    <row r="123" spans="1:4" s="487" customFormat="1" ht="13.5" thickBot="1">
      <c r="A123" s="643"/>
      <c r="B123" s="637" t="s">
        <v>59</v>
      </c>
      <c r="C123" s="638"/>
      <c r="D123" s="177"/>
    </row>
    <row r="124" spans="1:4" s="487" customFormat="1" ht="13.5" thickBot="1">
      <c r="A124" s="436" t="s">
        <v>60</v>
      </c>
      <c r="B124" s="437"/>
      <c r="C124" s="437"/>
      <c r="D124" s="438"/>
    </row>
    <row r="125" spans="1:4" s="487" customFormat="1" ht="13">
      <c r="A125" s="633" t="s">
        <v>61</v>
      </c>
      <c r="B125" s="25" t="s">
        <v>3</v>
      </c>
      <c r="C125" s="626"/>
      <c r="D125" s="627"/>
    </row>
    <row r="126" spans="1:4" s="487" customFormat="1" ht="13">
      <c r="A126" s="634"/>
      <c r="B126" s="26" t="s">
        <v>5</v>
      </c>
      <c r="C126" s="620"/>
      <c r="D126" s="621"/>
    </row>
    <row r="127" spans="1:4" s="487" customFormat="1" ht="13">
      <c r="A127" s="634"/>
      <c r="B127" s="26" t="s">
        <v>62</v>
      </c>
      <c r="C127" s="620"/>
      <c r="D127" s="621"/>
    </row>
    <row r="128" spans="1:4" s="487" customFormat="1" ht="13">
      <c r="A128" s="634"/>
      <c r="B128" s="26" t="s">
        <v>63</v>
      </c>
      <c r="C128" s="620"/>
      <c r="D128" s="621"/>
    </row>
    <row r="129" spans="1:4" s="487" customFormat="1" ht="13.5" thickBot="1">
      <c r="A129" s="635"/>
      <c r="B129" s="27" t="s">
        <v>8</v>
      </c>
      <c r="C129" s="622"/>
      <c r="D129" s="623"/>
    </row>
    <row r="130" spans="1:4" s="487" customFormat="1" ht="13">
      <c r="A130" s="633" t="s">
        <v>64</v>
      </c>
      <c r="B130" s="28" t="s">
        <v>3</v>
      </c>
      <c r="C130" s="626"/>
      <c r="D130" s="627"/>
    </row>
    <row r="131" spans="1:4" s="487" customFormat="1" ht="13">
      <c r="A131" s="634"/>
      <c r="B131" s="26" t="s">
        <v>5</v>
      </c>
      <c r="C131" s="620"/>
      <c r="D131" s="621"/>
    </row>
    <row r="132" spans="1:4" s="487" customFormat="1" ht="13">
      <c r="A132" s="634"/>
      <c r="B132" s="26" t="s">
        <v>62</v>
      </c>
      <c r="C132" s="620"/>
      <c r="D132" s="621"/>
    </row>
    <row r="133" spans="1:4" s="487" customFormat="1" ht="13">
      <c r="A133" s="634"/>
      <c r="B133" s="26" t="s">
        <v>63</v>
      </c>
      <c r="C133" s="620"/>
      <c r="D133" s="621"/>
    </row>
    <row r="134" spans="1:4" s="487" customFormat="1" ht="13.5" thickBot="1">
      <c r="A134" s="635"/>
      <c r="B134" s="27" t="s">
        <v>8</v>
      </c>
      <c r="C134" s="622"/>
      <c r="D134" s="623"/>
    </row>
    <row r="135" spans="1:4" s="487" customFormat="1" ht="13">
      <c r="A135" s="636" t="s">
        <v>65</v>
      </c>
      <c r="B135" s="28" t="s">
        <v>3</v>
      </c>
      <c r="C135" s="626"/>
      <c r="D135" s="627"/>
    </row>
    <row r="136" spans="1:4" s="487" customFormat="1" ht="13">
      <c r="A136" s="634"/>
      <c r="B136" s="26" t="s">
        <v>5</v>
      </c>
      <c r="C136" s="620"/>
      <c r="D136" s="621"/>
    </row>
    <row r="137" spans="1:4" s="487" customFormat="1" ht="13">
      <c r="A137" s="634"/>
      <c r="B137" s="26" t="s">
        <v>62</v>
      </c>
      <c r="C137" s="620"/>
      <c r="D137" s="621"/>
    </row>
    <row r="138" spans="1:4" s="487" customFormat="1" ht="13">
      <c r="A138" s="634"/>
      <c r="B138" s="26" t="s">
        <v>63</v>
      </c>
      <c r="C138" s="620"/>
      <c r="D138" s="621"/>
    </row>
    <row r="139" spans="1:4" s="487" customFormat="1" ht="13.5" thickBot="1">
      <c r="A139" s="635"/>
      <c r="B139" s="27" t="s">
        <v>8</v>
      </c>
      <c r="C139" s="622"/>
      <c r="D139" s="623"/>
    </row>
    <row r="140" spans="1:4" s="487" customFormat="1" ht="25.5" customHeight="1">
      <c r="A140" s="690" t="s">
        <v>66</v>
      </c>
      <c r="B140" s="691"/>
      <c r="C140" s="691"/>
      <c r="D140" s="691"/>
    </row>
    <row r="141" spans="1:4" s="480" customFormat="1" ht="13" thickBot="1">
      <c r="A141" s="358"/>
      <c r="B141" s="358"/>
      <c r="C141" s="358"/>
      <c r="D141" s="358"/>
    </row>
    <row r="142" spans="1:4" ht="18.75" customHeight="1" thickBot="1">
      <c r="A142" s="648" t="s">
        <v>67</v>
      </c>
      <c r="B142" s="649"/>
      <c r="C142" s="649"/>
      <c r="D142" s="650"/>
    </row>
    <row r="143" spans="1:4" s="487" customFormat="1" ht="13">
      <c r="A143" s="636" t="s">
        <v>68</v>
      </c>
      <c r="B143" s="28" t="s">
        <v>3</v>
      </c>
      <c r="C143" s="626"/>
      <c r="D143" s="627"/>
    </row>
    <row r="144" spans="1:4" s="487" customFormat="1" ht="13">
      <c r="A144" s="688"/>
      <c r="B144" s="26" t="s">
        <v>5</v>
      </c>
      <c r="C144" s="620"/>
      <c r="D144" s="621"/>
    </row>
    <row r="145" spans="1:4" s="487" customFormat="1" ht="13">
      <c r="A145" s="688"/>
      <c r="B145" s="26" t="s">
        <v>62</v>
      </c>
      <c r="C145" s="620"/>
      <c r="D145" s="621"/>
    </row>
    <row r="146" spans="1:4" s="487" customFormat="1" ht="13">
      <c r="A146" s="688"/>
      <c r="B146" s="26" t="s">
        <v>63</v>
      </c>
      <c r="C146" s="620"/>
      <c r="D146" s="621"/>
    </row>
    <row r="147" spans="1:4" s="487" customFormat="1" ht="13.5" thickBot="1">
      <c r="A147" s="689"/>
      <c r="B147" s="29" t="s">
        <v>8</v>
      </c>
      <c r="C147" s="622"/>
      <c r="D147" s="623"/>
    </row>
    <row r="148" spans="1:4" s="487" customFormat="1" ht="13">
      <c r="A148" s="434" t="s">
        <v>69</v>
      </c>
      <c r="B148" s="25" t="s">
        <v>3</v>
      </c>
      <c r="C148" s="626"/>
      <c r="D148" s="627"/>
    </row>
    <row r="149" spans="1:4" s="487" customFormat="1" ht="13">
      <c r="A149" s="433" t="s">
        <v>70</v>
      </c>
      <c r="B149" s="26" t="s">
        <v>5</v>
      </c>
      <c r="C149" s="620"/>
      <c r="D149" s="621"/>
    </row>
    <row r="150" spans="1:4" s="487" customFormat="1" ht="13">
      <c r="A150" s="359"/>
      <c r="B150" s="26" t="s">
        <v>62</v>
      </c>
      <c r="C150" s="620"/>
      <c r="D150" s="621"/>
    </row>
    <row r="151" spans="1:4" s="487" customFormat="1" ht="13">
      <c r="A151" s="359"/>
      <c r="B151" s="26" t="s">
        <v>63</v>
      </c>
      <c r="C151" s="620"/>
      <c r="D151" s="621"/>
    </row>
    <row r="152" spans="1:4" s="487" customFormat="1" ht="13.5" thickBot="1">
      <c r="A152" s="360"/>
      <c r="B152" s="27" t="s">
        <v>8</v>
      </c>
      <c r="C152" s="622"/>
      <c r="D152" s="623"/>
    </row>
    <row r="153" spans="1:4" ht="13">
      <c r="A153" s="434" t="s">
        <v>71</v>
      </c>
      <c r="B153" s="25" t="s">
        <v>3</v>
      </c>
      <c r="C153" s="626"/>
      <c r="D153" s="627"/>
    </row>
    <row r="154" spans="1:4" ht="13">
      <c r="A154" s="439" t="s">
        <v>72</v>
      </c>
      <c r="B154" s="26" t="s">
        <v>5</v>
      </c>
      <c r="C154" s="620"/>
      <c r="D154" s="621"/>
    </row>
    <row r="155" spans="1:4" ht="13">
      <c r="A155" s="433" t="s">
        <v>73</v>
      </c>
      <c r="B155" s="26" t="s">
        <v>62</v>
      </c>
      <c r="C155" s="620"/>
      <c r="D155" s="621"/>
    </row>
    <row r="156" spans="1:4" ht="13">
      <c r="A156" s="359"/>
      <c r="B156" s="26" t="s">
        <v>63</v>
      </c>
      <c r="C156" s="620"/>
      <c r="D156" s="621"/>
    </row>
    <row r="157" spans="1:4" ht="13.5" thickBot="1">
      <c r="A157" s="360"/>
      <c r="B157" s="27" t="s">
        <v>8</v>
      </c>
      <c r="C157" s="622"/>
      <c r="D157" s="623"/>
    </row>
    <row r="158" spans="1:4" ht="13">
      <c r="A158" s="439" t="s">
        <v>71</v>
      </c>
      <c r="B158" s="28" t="s">
        <v>3</v>
      </c>
      <c r="C158" s="626"/>
      <c r="D158" s="627"/>
    </row>
    <row r="159" spans="1:4" ht="13">
      <c r="A159" s="433" t="s">
        <v>74</v>
      </c>
      <c r="B159" s="26" t="s">
        <v>5</v>
      </c>
      <c r="C159" s="620"/>
      <c r="D159" s="621"/>
    </row>
    <row r="160" spans="1:4" ht="13">
      <c r="A160" s="359"/>
      <c r="B160" s="26" t="s">
        <v>62</v>
      </c>
      <c r="C160" s="620"/>
      <c r="D160" s="621"/>
    </row>
    <row r="161" spans="1:4" ht="13">
      <c r="A161" s="359"/>
      <c r="B161" s="26" t="s">
        <v>63</v>
      </c>
      <c r="C161" s="620"/>
      <c r="D161" s="621"/>
    </row>
    <row r="162" spans="1:4" ht="13.5" thickBot="1">
      <c r="A162" s="360"/>
      <c r="B162" s="27" t="s">
        <v>8</v>
      </c>
      <c r="C162" s="622"/>
      <c r="D162" s="623"/>
    </row>
    <row r="163" spans="1:4" ht="13">
      <c r="A163" s="439" t="s">
        <v>71</v>
      </c>
      <c r="B163" s="28" t="s">
        <v>3</v>
      </c>
      <c r="C163" s="626"/>
      <c r="D163" s="627"/>
    </row>
    <row r="164" spans="1:4" ht="13">
      <c r="A164" s="433" t="s">
        <v>75</v>
      </c>
      <c r="B164" s="26" t="s">
        <v>5</v>
      </c>
      <c r="C164" s="620"/>
      <c r="D164" s="621"/>
    </row>
    <row r="165" spans="1:4" ht="13">
      <c r="A165" s="359"/>
      <c r="B165" s="26" t="s">
        <v>62</v>
      </c>
      <c r="C165" s="620"/>
      <c r="D165" s="621"/>
    </row>
    <row r="166" spans="1:4" ht="13">
      <c r="A166" s="359"/>
      <c r="B166" s="26" t="s">
        <v>63</v>
      </c>
      <c r="C166" s="620"/>
      <c r="D166" s="621"/>
    </row>
    <row r="167" spans="1:4" ht="13.5" thickBot="1">
      <c r="A167" s="360"/>
      <c r="B167" s="27" t="s">
        <v>8</v>
      </c>
      <c r="C167" s="622"/>
      <c r="D167" s="623"/>
    </row>
    <row r="168" spans="1:4" ht="13">
      <c r="A168" s="439" t="s">
        <v>71</v>
      </c>
      <c r="B168" s="28" t="s">
        <v>3</v>
      </c>
      <c r="C168" s="626"/>
      <c r="D168" s="627"/>
    </row>
    <row r="169" spans="1:4" ht="13">
      <c r="A169" s="433" t="s">
        <v>76</v>
      </c>
      <c r="B169" s="26" t="s">
        <v>5</v>
      </c>
      <c r="C169" s="620"/>
      <c r="D169" s="621"/>
    </row>
    <row r="170" spans="1:4" ht="13">
      <c r="A170" s="359"/>
      <c r="B170" s="26" t="s">
        <v>62</v>
      </c>
      <c r="C170" s="620"/>
      <c r="D170" s="621"/>
    </row>
    <row r="171" spans="1:4" ht="13">
      <c r="A171" s="359"/>
      <c r="B171" s="26" t="s">
        <v>63</v>
      </c>
      <c r="C171" s="620"/>
      <c r="D171" s="621"/>
    </row>
    <row r="172" spans="1:4" ht="13.5" thickBot="1">
      <c r="A172" s="360"/>
      <c r="B172" s="27" t="s">
        <v>8</v>
      </c>
      <c r="C172" s="622"/>
      <c r="D172" s="623"/>
    </row>
    <row r="173" spans="1:4" ht="13.5" thickBot="1">
      <c r="A173" s="30" t="s">
        <v>77</v>
      </c>
      <c r="B173" s="31"/>
      <c r="C173" s="624"/>
      <c r="D173" s="625"/>
    </row>
    <row r="174" spans="1:4" ht="13">
      <c r="A174" s="633" t="s">
        <v>78</v>
      </c>
      <c r="B174" s="25" t="s">
        <v>3</v>
      </c>
      <c r="C174" s="626"/>
      <c r="D174" s="627"/>
    </row>
    <row r="175" spans="1:4" ht="13">
      <c r="A175" s="634"/>
      <c r="B175" s="26" t="s">
        <v>5</v>
      </c>
      <c r="C175" s="620"/>
      <c r="D175" s="621"/>
    </row>
    <row r="176" spans="1:4" ht="13">
      <c r="A176" s="634"/>
      <c r="B176" s="26" t="s">
        <v>62</v>
      </c>
      <c r="C176" s="620"/>
      <c r="D176" s="621"/>
    </row>
    <row r="177" spans="1:4" ht="13">
      <c r="A177" s="634"/>
      <c r="B177" s="26" t="s">
        <v>63</v>
      </c>
      <c r="C177" s="620"/>
      <c r="D177" s="621"/>
    </row>
    <row r="178" spans="1:4" ht="13.5" thickBot="1">
      <c r="A178" s="635"/>
      <c r="B178" s="27" t="s">
        <v>8</v>
      </c>
      <c r="C178" s="622"/>
      <c r="D178" s="623"/>
    </row>
    <row r="179" spans="1:4" ht="13">
      <c r="A179" s="633" t="s">
        <v>79</v>
      </c>
      <c r="B179" s="28" t="s">
        <v>3</v>
      </c>
      <c r="C179" s="626"/>
      <c r="D179" s="627"/>
    </row>
    <row r="180" spans="1:4" ht="13">
      <c r="A180" s="634"/>
      <c r="B180" s="26" t="s">
        <v>5</v>
      </c>
      <c r="C180" s="620"/>
      <c r="D180" s="621"/>
    </row>
    <row r="181" spans="1:4" ht="13">
      <c r="A181" s="634"/>
      <c r="B181" s="26" t="s">
        <v>62</v>
      </c>
      <c r="C181" s="620"/>
      <c r="D181" s="621"/>
    </row>
    <row r="182" spans="1:4" ht="13">
      <c r="A182" s="634"/>
      <c r="B182" s="26" t="s">
        <v>63</v>
      </c>
      <c r="C182" s="620"/>
      <c r="D182" s="621"/>
    </row>
    <row r="183" spans="1:4" ht="13.5" thickBot="1">
      <c r="A183" s="635"/>
      <c r="B183" s="27" t="s">
        <v>8</v>
      </c>
      <c r="C183" s="622"/>
      <c r="D183" s="623"/>
    </row>
    <row r="184" spans="1:4" ht="13">
      <c r="A184" s="636" t="s">
        <v>80</v>
      </c>
      <c r="B184" s="28" t="s">
        <v>3</v>
      </c>
      <c r="C184" s="626"/>
      <c r="D184" s="627"/>
    </row>
    <row r="185" spans="1:4" ht="13">
      <c r="A185" s="634"/>
      <c r="B185" s="26" t="s">
        <v>5</v>
      </c>
      <c r="C185" s="620"/>
      <c r="D185" s="621"/>
    </row>
    <row r="186" spans="1:4" ht="13">
      <c r="A186" s="634"/>
      <c r="B186" s="26" t="s">
        <v>62</v>
      </c>
      <c r="C186" s="620"/>
      <c r="D186" s="621"/>
    </row>
    <row r="187" spans="1:4" ht="13">
      <c r="A187" s="634"/>
      <c r="B187" s="26" t="s">
        <v>63</v>
      </c>
      <c r="C187" s="620"/>
      <c r="D187" s="621"/>
    </row>
    <row r="188" spans="1:4" ht="13.5" thickBot="1">
      <c r="A188" s="635"/>
      <c r="B188" s="27" t="s">
        <v>8</v>
      </c>
      <c r="C188" s="622"/>
      <c r="D188" s="623"/>
    </row>
    <row r="189" spans="1:4" ht="13">
      <c r="A189" s="636" t="s">
        <v>81</v>
      </c>
      <c r="B189" s="28" t="s">
        <v>3</v>
      </c>
      <c r="C189" s="626"/>
      <c r="D189" s="627"/>
    </row>
    <row r="190" spans="1:4" ht="13">
      <c r="A190" s="634"/>
      <c r="B190" s="26" t="s">
        <v>5</v>
      </c>
      <c r="C190" s="620"/>
      <c r="D190" s="621"/>
    </row>
    <row r="191" spans="1:4" ht="13">
      <c r="A191" s="634"/>
      <c r="B191" s="26" t="s">
        <v>62</v>
      </c>
      <c r="C191" s="620"/>
      <c r="D191" s="621"/>
    </row>
    <row r="192" spans="1:4" ht="13">
      <c r="A192" s="634"/>
      <c r="B192" s="26" t="s">
        <v>63</v>
      </c>
      <c r="C192" s="620"/>
      <c r="D192" s="621"/>
    </row>
    <row r="193" spans="1:4" ht="13.5" thickBot="1">
      <c r="A193" s="635"/>
      <c r="B193" s="27" t="s">
        <v>8</v>
      </c>
      <c r="C193" s="622"/>
      <c r="D193" s="623"/>
    </row>
    <row r="194" spans="1:4">
      <c r="A194" s="353"/>
      <c r="B194" s="478"/>
      <c r="C194" s="478"/>
      <c r="D194" s="478"/>
    </row>
    <row r="195" spans="1:4" s="487" customFormat="1" ht="26.25" customHeight="1">
      <c r="A195" s="396"/>
      <c r="B195" s="396"/>
      <c r="C195" s="396"/>
      <c r="D195" s="396"/>
    </row>
    <row r="196" spans="1:4" ht="12.5">
      <c r="A196" s="491"/>
      <c r="B196" s="478"/>
      <c r="C196" s="478"/>
      <c r="D196" s="478"/>
    </row>
  </sheetData>
  <sheetProtection algorithmName="SHA-512" hashValue="lsNgJhKkUcPxcufxB6wntHWy/n8qJmPgwOvDUvnISWrHasqOkcoaeeeKktzJ6mBBArdlmcogNIFPbPOUJIG+pA==" saltValue="GuEubaO8lx92UpuCxZuxrA==" spinCount="100000" sheet="1" formatCells="0" formatColumns="0" formatRows="0" insertColumns="0" insertRows="0" insertHyperlinks="0" selectLockedCells="1"/>
  <customSheetViews>
    <customSheetView guid="{AB5399CE-BEB7-40AA-A66C-46449E135DF8}" showGridLines="0" topLeftCell="A61">
      <selection activeCell="B93" sqref="B93"/>
      <rowBreaks count="3" manualBreakCount="3">
        <brk id="46" max="16383" man="1"/>
        <brk id="90" max="16383" man="1"/>
        <brk id="151" max="16383" man="1"/>
      </rowBreaks>
      <pageMargins left="0" right="0" top="0" bottom="0" header="0" footer="0"/>
      <printOptions horizontalCentered="1"/>
      <pageSetup scale="84" fitToHeight="7" orientation="portrait" r:id="rId1"/>
      <headerFooter alignWithMargins="0"/>
    </customSheetView>
  </customSheetViews>
  <mergeCells count="206">
    <mergeCell ref="C167:D167"/>
    <mergeCell ref="C97:D97"/>
    <mergeCell ref="C98:D98"/>
    <mergeCell ref="C160:D160"/>
    <mergeCell ref="C162:D162"/>
    <mergeCell ref="A108:B108"/>
    <mergeCell ref="C108:D108"/>
    <mergeCell ref="A92:B92"/>
    <mergeCell ref="C92:D92"/>
    <mergeCell ref="C93:D93"/>
    <mergeCell ref="A93:B93"/>
    <mergeCell ref="A97:A98"/>
    <mergeCell ref="C165:D165"/>
    <mergeCell ref="C154:D154"/>
    <mergeCell ref="C143:D143"/>
    <mergeCell ref="C134:D134"/>
    <mergeCell ref="C133:D133"/>
    <mergeCell ref="C145:D145"/>
    <mergeCell ref="C144:D144"/>
    <mergeCell ref="A143:A147"/>
    <mergeCell ref="A140:D140"/>
    <mergeCell ref="A91:D91"/>
    <mergeCell ref="C166:D166"/>
    <mergeCell ref="B112:C112"/>
    <mergeCell ref="C158:D158"/>
    <mergeCell ref="C161:D161"/>
    <mergeCell ref="B122:C122"/>
    <mergeCell ref="C136:D136"/>
    <mergeCell ref="C126:D126"/>
    <mergeCell ref="C135:D135"/>
    <mergeCell ref="C159:D159"/>
    <mergeCell ref="C132:D132"/>
    <mergeCell ref="C127:D127"/>
    <mergeCell ref="C149:D149"/>
    <mergeCell ref="C148:D148"/>
    <mergeCell ref="C147:D147"/>
    <mergeCell ref="C146:D146"/>
    <mergeCell ref="B120:C120"/>
    <mergeCell ref="B121:C121"/>
    <mergeCell ref="B113:C113"/>
    <mergeCell ref="B119:C119"/>
    <mergeCell ref="C139:D139"/>
    <mergeCell ref="C155:D155"/>
    <mergeCell ref="C156:D156"/>
    <mergeCell ref="C157:D157"/>
    <mergeCell ref="A16:A21"/>
    <mergeCell ref="A22:A27"/>
    <mergeCell ref="A28:A33"/>
    <mergeCell ref="C28:D28"/>
    <mergeCell ref="C30:D30"/>
    <mergeCell ref="C35:D35"/>
    <mergeCell ref="C32:D32"/>
    <mergeCell ref="C107:D107"/>
    <mergeCell ref="C51:D51"/>
    <mergeCell ref="C71:D71"/>
    <mergeCell ref="A99:A106"/>
    <mergeCell ref="C36:D36"/>
    <mergeCell ref="C37:D37"/>
    <mergeCell ref="C54:D54"/>
    <mergeCell ref="A47:D47"/>
    <mergeCell ref="C48:D48"/>
    <mergeCell ref="C42:D42"/>
    <mergeCell ref="C43:D43"/>
    <mergeCell ref="C31:D31"/>
    <mergeCell ref="C38:D38"/>
    <mergeCell ref="C73:D73"/>
    <mergeCell ref="C66:D66"/>
    <mergeCell ref="C49:D49"/>
    <mergeCell ref="C50:D50"/>
    <mergeCell ref="A88:A89"/>
    <mergeCell ref="A189:A193"/>
    <mergeCell ref="A184:A188"/>
    <mergeCell ref="C45:D45"/>
    <mergeCell ref="C131:D131"/>
    <mergeCell ref="A109:B109"/>
    <mergeCell ref="C109:D109"/>
    <mergeCell ref="C193:D193"/>
    <mergeCell ref="C192:D192"/>
    <mergeCell ref="C191:D191"/>
    <mergeCell ref="C190:D190"/>
    <mergeCell ref="C189:D189"/>
    <mergeCell ref="C153:D153"/>
    <mergeCell ref="C152:D152"/>
    <mergeCell ref="C151:D151"/>
    <mergeCell ref="C150:D150"/>
    <mergeCell ref="C168:D168"/>
    <mergeCell ref="C163:D163"/>
    <mergeCell ref="C164:D164"/>
    <mergeCell ref="C60:D60"/>
    <mergeCell ref="C81:D81"/>
    <mergeCell ref="C86:D86"/>
    <mergeCell ref="C61:D61"/>
    <mergeCell ref="C58:D58"/>
    <mergeCell ref="A1:D1"/>
    <mergeCell ref="A3:D3"/>
    <mergeCell ref="B2:D2"/>
    <mergeCell ref="C7:D7"/>
    <mergeCell ref="C4:D4"/>
    <mergeCell ref="A10:A15"/>
    <mergeCell ref="A4:A9"/>
    <mergeCell ref="C23:D23"/>
    <mergeCell ref="C24:D24"/>
    <mergeCell ref="C9:D9"/>
    <mergeCell ref="C10:D10"/>
    <mergeCell ref="C11:D11"/>
    <mergeCell ref="C5:D5"/>
    <mergeCell ref="C6:D6"/>
    <mergeCell ref="C8:D8"/>
    <mergeCell ref="C17:D17"/>
    <mergeCell ref="C20:D20"/>
    <mergeCell ref="C21:D21"/>
    <mergeCell ref="C13:D13"/>
    <mergeCell ref="C18:D18"/>
    <mergeCell ref="C12:D12"/>
    <mergeCell ref="C19:D19"/>
    <mergeCell ref="C22:D22"/>
    <mergeCell ref="C14:D14"/>
    <mergeCell ref="C15:D15"/>
    <mergeCell ref="C26:D26"/>
    <mergeCell ref="C27:D27"/>
    <mergeCell ref="C29:D29"/>
    <mergeCell ref="C16:D16"/>
    <mergeCell ref="C25:D25"/>
    <mergeCell ref="B110:D110"/>
    <mergeCell ref="C83:D83"/>
    <mergeCell ref="C87:D87"/>
    <mergeCell ref="A107:B107"/>
    <mergeCell ref="C84:D84"/>
    <mergeCell ref="C85:D85"/>
    <mergeCell ref="A83:A87"/>
    <mergeCell ref="C79:D79"/>
    <mergeCell ref="C88:D88"/>
    <mergeCell ref="C89:D89"/>
    <mergeCell ref="C33:D33"/>
    <mergeCell ref="C67:D67"/>
    <mergeCell ref="C34:D34"/>
    <mergeCell ref="C62:D62"/>
    <mergeCell ref="C56:D56"/>
    <mergeCell ref="A34:A39"/>
    <mergeCell ref="A48:A82"/>
    <mergeCell ref="C39:D39"/>
    <mergeCell ref="C65:D65"/>
    <mergeCell ref="C44:D44"/>
    <mergeCell ref="C82:D82"/>
    <mergeCell ref="C69:D69"/>
    <mergeCell ref="C68:D68"/>
    <mergeCell ref="C70:D70"/>
    <mergeCell ref="B51:B70"/>
    <mergeCell ref="C63:D63"/>
    <mergeCell ref="C64:D64"/>
    <mergeCell ref="C52:D52"/>
    <mergeCell ref="B71:B81"/>
    <mergeCell ref="C57:D57"/>
    <mergeCell ref="C59:D59"/>
    <mergeCell ref="C72:D72"/>
    <mergeCell ref="C53:D53"/>
    <mergeCell ref="C55:D55"/>
    <mergeCell ref="C77:D77"/>
    <mergeCell ref="C75:D75"/>
    <mergeCell ref="C76:D76"/>
    <mergeCell ref="C78:D78"/>
    <mergeCell ref="C80:D80"/>
    <mergeCell ref="A40:A45"/>
    <mergeCell ref="C40:D40"/>
    <mergeCell ref="C41:D41"/>
    <mergeCell ref="A174:A178"/>
    <mergeCell ref="A179:A183"/>
    <mergeCell ref="A130:A134"/>
    <mergeCell ref="A135:A139"/>
    <mergeCell ref="C74:D74"/>
    <mergeCell ref="B123:C123"/>
    <mergeCell ref="B118:C118"/>
    <mergeCell ref="A125:A129"/>
    <mergeCell ref="C125:D125"/>
    <mergeCell ref="A110:A123"/>
    <mergeCell ref="B116:C116"/>
    <mergeCell ref="B117:C117"/>
    <mergeCell ref="C128:D128"/>
    <mergeCell ref="C129:D129"/>
    <mergeCell ref="B114:C114"/>
    <mergeCell ref="B115:C115"/>
    <mergeCell ref="B111:D111"/>
    <mergeCell ref="C138:D138"/>
    <mergeCell ref="C137:D137"/>
    <mergeCell ref="C130:D130"/>
    <mergeCell ref="A142:D142"/>
    <mergeCell ref="C187:D187"/>
    <mergeCell ref="C188:D188"/>
    <mergeCell ref="C169:D169"/>
    <mergeCell ref="C176:D176"/>
    <mergeCell ref="C177:D177"/>
    <mergeCell ref="C170:D170"/>
    <mergeCell ref="C171:D171"/>
    <mergeCell ref="C172:D172"/>
    <mergeCell ref="C173:D173"/>
    <mergeCell ref="C184:D184"/>
    <mergeCell ref="C185:D185"/>
    <mergeCell ref="C186:D186"/>
    <mergeCell ref="C182:D182"/>
    <mergeCell ref="C183:D183"/>
    <mergeCell ref="C178:D178"/>
    <mergeCell ref="C179:D179"/>
    <mergeCell ref="C180:D180"/>
    <mergeCell ref="C181:D181"/>
    <mergeCell ref="C174:D174"/>
    <mergeCell ref="C175:D175"/>
  </mergeCells>
  <phoneticPr fontId="0" type="noConversion"/>
  <conditionalFormatting sqref="D115:D117">
    <cfRule type="expression" dxfId="36" priority="30">
      <formula>AND(D$112&lt;&gt;"Environmental Impact Statement (EIS)")</formula>
    </cfRule>
  </conditionalFormatting>
  <conditionalFormatting sqref="C93:D93">
    <cfRule type="expression" dxfId="35" priority="8">
      <formula>AND(C92="Yes")</formula>
    </cfRule>
  </conditionalFormatting>
  <conditionalFormatting sqref="C96:D96 C107:D107">
    <cfRule type="expression" dxfId="34" priority="6">
      <formula>AND($C$92="Yes")</formula>
    </cfRule>
  </conditionalFormatting>
  <conditionalFormatting sqref="D100:D103">
    <cfRule type="expression" dxfId="33" priority="2">
      <formula>OR(#REF!="(Select…)",#REF!="n/a")</formula>
    </cfRule>
  </conditionalFormatting>
  <conditionalFormatting sqref="D105:D106">
    <cfRule type="expression" dxfId="32" priority="1">
      <formula>OR(#REF!="(Select…)",#REF!="n/a")</formula>
    </cfRule>
  </conditionalFormatting>
  <dataValidations count="4">
    <dataValidation type="list" allowBlank="1" showInputMessage="1" showErrorMessage="1" error="Please select a value from the drop-down list.  (Do not change the list -- otherwise formulas in this workbook will not work correctly.)" sqref="D112" xr:uid="{00000000-0002-0000-0000-000000000000}">
      <formula1>"(Select…),Categorical Exclusion (CE),Environmental Assessment (EA), Environmental Impact Statement (EIS)"</formula1>
    </dataValidation>
    <dataValidation type="list" allowBlank="1" showInputMessage="1" showErrorMessage="1" error="Please select a value from the drop-down list.  (Do not change the list -- otherwise formulas in this workbook will not work correctly.)" sqref="C96" xr:uid="{00000000-0002-0000-0000-000001000000}">
      <formula1>"(Select…),None,10 Years,20 Years"</formula1>
    </dataValidation>
    <dataValidation type="list" allowBlank="1" showInputMessage="1" showErrorMessage="1" error="Please select a value from the drop-down list.  (Do not change the list -- otherwise formulas in this workbook will not work correctly.)" sqref="C107:D107" xr:uid="{00000000-0002-0000-0000-000002000000}">
      <formula1>"(Select...),Local model,FTA Simplified Trips on Projects (STOPS) model,Incremental data-driven method"</formula1>
    </dataValidation>
    <dataValidation type="list" allowBlank="1" showInputMessage="1" showErrorMessage="1" sqref="D92 C92" xr:uid="{00000000-0002-0000-0000-000003000000}">
      <formula1>"(Select…),Yes,No"</formula1>
    </dataValidation>
  </dataValidations>
  <printOptions horizontalCentered="1"/>
  <pageMargins left="0.75" right="0.75" top="1" bottom="1" header="0.5" footer="0.5"/>
  <pageSetup scale="84" fitToHeight="7" orientation="portrait" r:id="rId2"/>
  <headerFooter alignWithMargins="0"/>
  <rowBreaks count="3" manualBreakCount="3">
    <brk id="46" max="16383" man="1"/>
    <brk id="90" max="16383" man="1"/>
    <brk id="151" max="16383" man="1"/>
  </rowBreaks>
  <ignoredErrors>
    <ignoredError sqref="B114 B115:C117" unlocked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4" id="{FAAFD886-A711-44CB-88C8-0D61ECCE22B5}">
            <xm:f>AND(Lookups!$K$20="No")</xm:f>
            <x14:dxf>
              <font>
                <color rgb="FFFF0000"/>
              </font>
            </x14:dxf>
          </x14:cfRule>
          <x14:cfRule type="expression" priority="5" id="{3B558E67-9E6A-42B3-8FBF-B66DC82D5E63}">
            <xm:f>AND(Lookups!$K$20="Yes")</xm:f>
            <x14:dxf>
              <font>
                <color rgb="FF00B050"/>
              </font>
            </x14:dxf>
          </x14:cfRule>
          <xm:sqref>E92:E93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003ED-1F7D-402D-9BEB-6AB054C8EFFD}">
  <sheetPr>
    <pageSetUpPr fitToPage="1"/>
  </sheetPr>
  <dimension ref="A1:Q42"/>
  <sheetViews>
    <sheetView showGridLines="0" zoomScaleNormal="100" zoomScaleSheetLayoutView="100" workbookViewId="0">
      <selection activeCell="E9" sqref="E9"/>
    </sheetView>
  </sheetViews>
  <sheetFormatPr defaultColWidth="9.33203125" defaultRowHeight="15" customHeight="1"/>
  <cols>
    <col min="1" max="1" width="6.6640625" style="8" customWidth="1"/>
    <col min="2" max="2" width="23.44140625" style="9" customWidth="1"/>
    <col min="3" max="3" width="28.33203125" style="8" customWidth="1"/>
    <col min="4" max="8" width="13.6640625" style="8" customWidth="1"/>
    <col min="9" max="12" width="18.6640625" style="8" customWidth="1"/>
    <col min="13" max="14" width="16.6640625" style="8" customWidth="1"/>
    <col min="15" max="16" width="9.33203125" style="8"/>
    <col min="17" max="17" width="9.33203125" style="338"/>
    <col min="18" max="16384" width="9.33203125" style="8"/>
  </cols>
  <sheetData>
    <row r="1" spans="1:17" s="3" customFormat="1" ht="20.25" customHeight="1" thickBot="1">
      <c r="A1" s="648" t="s">
        <v>501</v>
      </c>
      <c r="B1" s="649"/>
      <c r="C1" s="649"/>
      <c r="D1" s="649"/>
      <c r="E1" s="649"/>
      <c r="F1" s="649"/>
      <c r="G1" s="649"/>
      <c r="H1" s="649"/>
      <c r="I1" s="649"/>
      <c r="J1" s="649"/>
      <c r="K1" s="649"/>
      <c r="L1" s="649"/>
      <c r="M1" s="649"/>
      <c r="N1" s="650"/>
      <c r="O1" s="354"/>
      <c r="P1" s="354"/>
      <c r="Q1" s="361"/>
    </row>
    <row r="2" spans="1:17" s="6" customFormat="1" ht="16" thickBot="1">
      <c r="A2" s="717" t="s">
        <v>0</v>
      </c>
      <c r="B2" s="718"/>
      <c r="C2" s="718"/>
      <c r="D2" s="717" t="str">
        <f>+Finance!B2</f>
        <v/>
      </c>
      <c r="E2" s="718"/>
      <c r="F2" s="718"/>
      <c r="G2" s="718"/>
      <c r="H2" s="718"/>
      <c r="I2" s="718"/>
      <c r="J2" s="718"/>
      <c r="K2" s="718"/>
      <c r="L2" s="718"/>
      <c r="M2" s="718"/>
      <c r="N2" s="719"/>
      <c r="Q2" s="336"/>
    </row>
    <row r="3" spans="1:17" s="2" customFormat="1" ht="6" customHeight="1">
      <c r="A3" s="352"/>
      <c r="B3" s="273"/>
      <c r="C3" s="273"/>
      <c r="D3" s="273"/>
      <c r="E3" s="273"/>
      <c r="F3" s="273"/>
      <c r="G3" s="273"/>
      <c r="H3" s="273"/>
      <c r="I3" s="273"/>
      <c r="J3" s="273"/>
      <c r="K3" s="273"/>
      <c r="L3" s="273"/>
      <c r="M3" s="273"/>
      <c r="N3" s="273"/>
      <c r="Q3" s="337"/>
    </row>
    <row r="4" spans="1:17" ht="15" customHeight="1">
      <c r="A4" s="720" t="str">
        <f>IF('Project Description'!$C$92="Yes","*** Travel forecasts are not required for projects that qualify for warrants.  Complete only the current year transit VMT section (for use in the Env. Ben. measure) below. ***","")</f>
        <v/>
      </c>
      <c r="B4" s="720"/>
      <c r="C4" s="720"/>
      <c r="D4" s="720"/>
      <c r="E4" s="720"/>
      <c r="F4" s="720"/>
      <c r="G4" s="720"/>
      <c r="H4" s="720"/>
      <c r="I4" s="720"/>
      <c r="J4" s="720"/>
      <c r="K4" s="720"/>
      <c r="L4" s="720"/>
      <c r="M4" s="720"/>
      <c r="N4" s="720"/>
    </row>
    <row r="5" spans="1:17" ht="6" customHeight="1" thickBot="1">
      <c r="A5" s="32"/>
      <c r="B5" s="274"/>
      <c r="C5" s="274"/>
      <c r="D5" s="274"/>
      <c r="E5" s="274"/>
      <c r="F5" s="274"/>
      <c r="G5" s="274"/>
      <c r="H5" s="274"/>
      <c r="I5" s="274"/>
      <c r="J5" s="274"/>
      <c r="K5" s="274"/>
      <c r="L5" s="274"/>
      <c r="M5" s="274"/>
      <c r="N5" s="274"/>
    </row>
    <row r="6" spans="1:17" ht="16" thickBot="1">
      <c r="A6" s="721" t="s">
        <v>82</v>
      </c>
      <c r="B6" s="722"/>
      <c r="C6" s="722"/>
      <c r="D6" s="722"/>
      <c r="E6" s="722"/>
      <c r="F6" s="722"/>
      <c r="G6" s="722"/>
      <c r="H6" s="722"/>
      <c r="I6" s="722"/>
      <c r="J6" s="722"/>
      <c r="K6" s="722"/>
      <c r="L6" s="722"/>
      <c r="M6" s="722"/>
      <c r="N6" s="723"/>
    </row>
    <row r="7" spans="1:17" ht="40.5" customHeight="1">
      <c r="A7" s="702" t="s">
        <v>83</v>
      </c>
      <c r="B7" s="704" t="s">
        <v>84</v>
      </c>
      <c r="C7" s="706" t="s">
        <v>85</v>
      </c>
      <c r="D7" s="692" t="s">
        <v>86</v>
      </c>
      <c r="E7" s="693"/>
      <c r="F7" s="702" t="s">
        <v>87</v>
      </c>
      <c r="G7" s="692" t="s">
        <v>88</v>
      </c>
      <c r="H7" s="693"/>
      <c r="I7" s="694" t="s">
        <v>89</v>
      </c>
      <c r="J7" s="695"/>
      <c r="K7" s="695"/>
      <c r="L7" s="695"/>
      <c r="M7" s="695"/>
      <c r="N7" s="696"/>
    </row>
    <row r="8" spans="1:17" s="13" customFormat="1" ht="28.5" customHeight="1" thickBot="1">
      <c r="A8" s="703"/>
      <c r="B8" s="705"/>
      <c r="C8" s="707"/>
      <c r="D8" s="34" t="str">
        <f>CONCATENATE("Current Year (",'Project Description'!A96,")")</f>
        <v>Current Year ()</v>
      </c>
      <c r="E8" s="35" t="str">
        <f>CONCATENATE("Horizon (",IF('Project Description'!$C$92="Yes","N/A",IF('Project Description'!C96="(Select…)","",'Project Description'!C96)),")")</f>
        <v>Horizon (None)</v>
      </c>
      <c r="F8" s="708"/>
      <c r="G8" s="34" t="str">
        <f>D8</f>
        <v>Current Year ()</v>
      </c>
      <c r="H8" s="35" t="str">
        <f>E8</f>
        <v>Horizon (None)</v>
      </c>
      <c r="I8" s="697"/>
      <c r="J8" s="698"/>
      <c r="K8" s="698"/>
      <c r="L8" s="698"/>
      <c r="M8" s="698"/>
      <c r="N8" s="699"/>
      <c r="Q8" s="339"/>
    </row>
    <row r="9" spans="1:17" ht="14.25" customHeight="1">
      <c r="A9" s="36" t="s">
        <v>90</v>
      </c>
      <c r="B9" s="700" t="s">
        <v>91</v>
      </c>
      <c r="C9" s="604" t="s">
        <v>92</v>
      </c>
      <c r="D9" s="62"/>
      <c r="E9" s="63"/>
      <c r="F9" s="709"/>
      <c r="G9" s="37">
        <f>D9*F9</f>
        <v>0</v>
      </c>
      <c r="H9" s="38" t="str">
        <f>IF('Project Description'!$C$96="(Select…)","-",IF('Project Description'!$C$96="None","---",E9*F9))</f>
        <v>---</v>
      </c>
      <c r="I9" s="711" t="str">
        <f>IF('Project Description'!C107="(Select...)","(Linked from Type of Model Used for Travel Forecasts field of Project Description Template)",'Project Description'!C107)</f>
        <v>(Linked from Type of Model Used for Travel Forecasts field of Project Description Template)</v>
      </c>
      <c r="J9" s="712"/>
      <c r="K9" s="712"/>
      <c r="L9" s="712"/>
      <c r="M9" s="712"/>
      <c r="N9" s="713"/>
      <c r="P9" s="179"/>
    </row>
    <row r="10" spans="1:17" ht="14.25" customHeight="1">
      <c r="A10" s="39" t="s">
        <v>93</v>
      </c>
      <c r="B10" s="701"/>
      <c r="C10" s="605" t="s">
        <v>94</v>
      </c>
      <c r="D10" s="64"/>
      <c r="E10" s="65"/>
      <c r="F10" s="710"/>
      <c r="G10" s="40">
        <f>D10*F9</f>
        <v>0</v>
      </c>
      <c r="H10" s="41" t="str">
        <f>IF(NOT(ISNUMBER(H9)),H9,E10*F9)</f>
        <v>---</v>
      </c>
      <c r="I10" s="714"/>
      <c r="J10" s="715"/>
      <c r="K10" s="715"/>
      <c r="L10" s="715"/>
      <c r="M10" s="715"/>
      <c r="N10" s="716"/>
    </row>
    <row r="11" spans="1:17" ht="14.25" customHeight="1">
      <c r="A11" s="42" t="s">
        <v>95</v>
      </c>
      <c r="B11" s="701" t="s">
        <v>96</v>
      </c>
      <c r="C11" s="606" t="s">
        <v>92</v>
      </c>
      <c r="D11" s="66"/>
      <c r="E11" s="468"/>
      <c r="F11" s="728">
        <f>F9</f>
        <v>0</v>
      </c>
      <c r="G11" s="43">
        <f>D11*F11</f>
        <v>0</v>
      </c>
      <c r="H11" s="44" t="str">
        <f>IF(NOT(ISNUMBER(H9)),H9,E11*F11)</f>
        <v>---</v>
      </c>
      <c r="I11" s="729" t="str">
        <f>IF('Project Description'!C107="(Select...)","(Linked from Type of Model Used for Travel Forecasts field of Project Description Template)",'Project Description'!C107)</f>
        <v>(Linked from Type of Model Used for Travel Forecasts field of Project Description Template)</v>
      </c>
      <c r="J11" s="730"/>
      <c r="K11" s="730"/>
      <c r="L11" s="730"/>
      <c r="M11" s="730"/>
      <c r="N11" s="731"/>
    </row>
    <row r="12" spans="1:17" ht="14.25" customHeight="1">
      <c r="A12" s="39" t="s">
        <v>97</v>
      </c>
      <c r="B12" s="701"/>
      <c r="C12" s="605" t="s">
        <v>94</v>
      </c>
      <c r="D12" s="64"/>
      <c r="E12" s="65"/>
      <c r="F12" s="728"/>
      <c r="G12" s="40">
        <f>D12*F11</f>
        <v>0</v>
      </c>
      <c r="H12" s="41" t="str">
        <f>IF(NOT(ISNUMBER(H9)),H9,E12*F11)</f>
        <v>---</v>
      </c>
      <c r="I12" s="729"/>
      <c r="J12" s="730"/>
      <c r="K12" s="730"/>
      <c r="L12" s="730"/>
      <c r="M12" s="730"/>
      <c r="N12" s="731"/>
    </row>
    <row r="13" spans="1:17" ht="14.25" customHeight="1">
      <c r="A13" s="42" t="s">
        <v>98</v>
      </c>
      <c r="B13" s="724" t="s">
        <v>99</v>
      </c>
      <c r="C13" s="606" t="s">
        <v>92</v>
      </c>
      <c r="D13" s="66"/>
      <c r="E13" s="468"/>
      <c r="F13" s="710"/>
      <c r="G13" s="43">
        <f>D13*F13</f>
        <v>0</v>
      </c>
      <c r="H13" s="44" t="str">
        <f>IF(NOT(ISNUMBER(H9)),H9,E13*F13)</f>
        <v>---</v>
      </c>
      <c r="I13" s="725"/>
      <c r="J13" s="726"/>
      <c r="K13" s="726"/>
      <c r="L13" s="726"/>
      <c r="M13" s="726"/>
      <c r="N13" s="727"/>
    </row>
    <row r="14" spans="1:17" ht="14.25" customHeight="1">
      <c r="A14" s="39" t="s">
        <v>100</v>
      </c>
      <c r="B14" s="724"/>
      <c r="C14" s="605" t="s">
        <v>94</v>
      </c>
      <c r="D14" s="64"/>
      <c r="E14" s="65"/>
      <c r="F14" s="710"/>
      <c r="G14" s="40">
        <f>D14*F13</f>
        <v>0</v>
      </c>
      <c r="H14" s="41" t="str">
        <f>IF(NOT(ISNUMBER(H9)),H9,E14*F13)</f>
        <v>---</v>
      </c>
      <c r="I14" s="725"/>
      <c r="J14" s="726"/>
      <c r="K14" s="726"/>
      <c r="L14" s="726"/>
      <c r="M14" s="726"/>
      <c r="N14" s="727"/>
    </row>
    <row r="15" spans="1:17" ht="14.25" customHeight="1">
      <c r="A15" s="42" t="s">
        <v>101</v>
      </c>
      <c r="B15" s="724" t="s">
        <v>102</v>
      </c>
      <c r="C15" s="606" t="s">
        <v>92</v>
      </c>
      <c r="D15" s="66"/>
      <c r="E15" s="468"/>
      <c r="F15" s="710"/>
      <c r="G15" s="43">
        <f>D15*F15</f>
        <v>0</v>
      </c>
      <c r="H15" s="44" t="str">
        <f>IF(NOT(ISNUMBER(H9)),H9,E15*F15)</f>
        <v>---</v>
      </c>
      <c r="I15" s="725"/>
      <c r="J15" s="726"/>
      <c r="K15" s="726"/>
      <c r="L15" s="726"/>
      <c r="M15" s="726"/>
      <c r="N15" s="727"/>
    </row>
    <row r="16" spans="1:17" ht="14.25" customHeight="1">
      <c r="A16" s="39" t="s">
        <v>103</v>
      </c>
      <c r="B16" s="724"/>
      <c r="C16" s="605" t="s">
        <v>94</v>
      </c>
      <c r="D16" s="64"/>
      <c r="E16" s="65"/>
      <c r="F16" s="710"/>
      <c r="G16" s="40">
        <f>D16*F15</f>
        <v>0</v>
      </c>
      <c r="H16" s="41" t="str">
        <f>IF(NOT(ISNUMBER(H9)),H9,E16*F15)</f>
        <v>---</v>
      </c>
      <c r="I16" s="725"/>
      <c r="J16" s="726"/>
      <c r="K16" s="726"/>
      <c r="L16" s="726"/>
      <c r="M16" s="726"/>
      <c r="N16" s="727"/>
    </row>
    <row r="17" spans="1:17" ht="14.25" customHeight="1">
      <c r="A17" s="42" t="s">
        <v>104</v>
      </c>
      <c r="B17" s="724" t="s">
        <v>105</v>
      </c>
      <c r="C17" s="606" t="s">
        <v>92</v>
      </c>
      <c r="D17" s="66"/>
      <c r="E17" s="468"/>
      <c r="F17" s="710"/>
      <c r="G17" s="43">
        <f>D17*F17</f>
        <v>0</v>
      </c>
      <c r="H17" s="44" t="str">
        <f>IF(NOT(ISNUMBER(H9)),H9,E17*F17)</f>
        <v>---</v>
      </c>
      <c r="I17" s="725"/>
      <c r="J17" s="726"/>
      <c r="K17" s="726"/>
      <c r="L17" s="726"/>
      <c r="M17" s="726"/>
      <c r="N17" s="727"/>
    </row>
    <row r="18" spans="1:17" ht="14.25" customHeight="1">
      <c r="A18" s="39" t="s">
        <v>106</v>
      </c>
      <c r="B18" s="724"/>
      <c r="C18" s="605" t="s">
        <v>94</v>
      </c>
      <c r="D18" s="64"/>
      <c r="E18" s="65"/>
      <c r="F18" s="710"/>
      <c r="G18" s="40">
        <f>D18*F17</f>
        <v>0</v>
      </c>
      <c r="H18" s="41" t="str">
        <f>IF(NOT(ISNUMBER(H9)),H9,E18*F17)</f>
        <v>---</v>
      </c>
      <c r="I18" s="725"/>
      <c r="J18" s="726"/>
      <c r="K18" s="726"/>
      <c r="L18" s="726"/>
      <c r="M18" s="726"/>
      <c r="N18" s="727"/>
    </row>
    <row r="19" spans="1:17" ht="14.25" customHeight="1">
      <c r="A19" s="42" t="s">
        <v>107</v>
      </c>
      <c r="B19" s="724" t="s">
        <v>108</v>
      </c>
      <c r="C19" s="606" t="s">
        <v>92</v>
      </c>
      <c r="D19" s="66"/>
      <c r="E19" s="468"/>
      <c r="F19" s="710"/>
      <c r="G19" s="43">
        <f>D19*F19</f>
        <v>0</v>
      </c>
      <c r="H19" s="44" t="str">
        <f>IF(NOT(ISNUMBER(H9)),H9,E19*F19)</f>
        <v>---</v>
      </c>
      <c r="I19" s="734"/>
      <c r="J19" s="735"/>
      <c r="K19" s="735"/>
      <c r="L19" s="735"/>
      <c r="M19" s="735"/>
      <c r="N19" s="736"/>
    </row>
    <row r="20" spans="1:17" ht="14.25" customHeight="1" thickBot="1">
      <c r="A20" s="45" t="s">
        <v>109</v>
      </c>
      <c r="B20" s="732"/>
      <c r="C20" s="607" t="s">
        <v>94</v>
      </c>
      <c r="D20" s="474"/>
      <c r="E20" s="475"/>
      <c r="F20" s="733"/>
      <c r="G20" s="46">
        <f>D20*F19</f>
        <v>0</v>
      </c>
      <c r="H20" s="47" t="str">
        <f>IF(NOT(ISNUMBER(H9)),H9,E20*F19)</f>
        <v>---</v>
      </c>
      <c r="I20" s="737"/>
      <c r="J20" s="738"/>
      <c r="K20" s="738"/>
      <c r="L20" s="738"/>
      <c r="M20" s="738"/>
      <c r="N20" s="739"/>
    </row>
    <row r="21" spans="1:17" ht="14.25" customHeight="1">
      <c r="A21" s="36" t="s">
        <v>110</v>
      </c>
      <c r="B21" s="740" t="s">
        <v>111</v>
      </c>
      <c r="C21" s="604" t="s">
        <v>92</v>
      </c>
      <c r="D21" s="469" t="s">
        <v>112</v>
      </c>
      <c r="E21" s="470" t="s">
        <v>112</v>
      </c>
      <c r="F21" s="742" t="s">
        <v>112</v>
      </c>
      <c r="G21" s="37">
        <f>G9+G11+G13+G15+G17+G19</f>
        <v>0</v>
      </c>
      <c r="H21" s="38" t="str">
        <f>IF(NOT(ISNUMBER(H9)),H9,H9+H11+H13+H15+H17+H19)</f>
        <v>---</v>
      </c>
      <c r="I21" s="744" t="s">
        <v>112</v>
      </c>
      <c r="J21" s="745"/>
      <c r="K21" s="745"/>
      <c r="L21" s="745"/>
      <c r="M21" s="745"/>
      <c r="N21" s="746"/>
    </row>
    <row r="22" spans="1:17" ht="14.25" customHeight="1" thickBot="1">
      <c r="A22" s="45" t="s">
        <v>113</v>
      </c>
      <c r="B22" s="741"/>
      <c r="C22" s="607" t="s">
        <v>94</v>
      </c>
      <c r="D22" s="180" t="s">
        <v>112</v>
      </c>
      <c r="E22" s="181" t="s">
        <v>112</v>
      </c>
      <c r="F22" s="743"/>
      <c r="G22" s="46">
        <f>G10+G12+G14+G16+G18+G20</f>
        <v>0</v>
      </c>
      <c r="H22" s="47" t="str">
        <f>IF(NOT(ISNUMBER(H9)),H9,H10+H12+H14+H16+H18+H20)</f>
        <v>---</v>
      </c>
      <c r="I22" s="747" t="s">
        <v>112</v>
      </c>
      <c r="J22" s="748"/>
      <c r="K22" s="748"/>
      <c r="L22" s="748"/>
      <c r="M22" s="748"/>
      <c r="N22" s="749"/>
    </row>
    <row r="23" spans="1:17" s="253" customFormat="1" ht="28.5" customHeight="1" thickBot="1">
      <c r="A23" s="256" t="s">
        <v>114</v>
      </c>
      <c r="B23" s="750" t="s">
        <v>115</v>
      </c>
      <c r="C23" s="751"/>
      <c r="D23" s="248" t="s">
        <v>112</v>
      </c>
      <c r="E23" s="249" t="s">
        <v>112</v>
      </c>
      <c r="F23" s="250" t="s">
        <v>112</v>
      </c>
      <c r="G23" s="254">
        <f>G21+G22</f>
        <v>0</v>
      </c>
      <c r="H23" s="255" t="str">
        <f>IF(NOT(ISNUMBER(H9)),H9,H21+H22)</f>
        <v>---</v>
      </c>
      <c r="I23" s="752" t="s">
        <v>112</v>
      </c>
      <c r="J23" s="753"/>
      <c r="K23" s="753"/>
      <c r="L23" s="753"/>
      <c r="M23" s="753"/>
      <c r="N23" s="754"/>
      <c r="Q23" s="340"/>
    </row>
    <row r="24" spans="1:17" s="253" customFormat="1" ht="29.25" customHeight="1" thickBot="1">
      <c r="A24" s="256" t="s">
        <v>116</v>
      </c>
      <c r="B24" s="750" t="s">
        <v>117</v>
      </c>
      <c r="C24" s="751"/>
      <c r="D24" s="472">
        <f>D9+D10+D11+D12</f>
        <v>0</v>
      </c>
      <c r="E24" s="473" t="str">
        <f>IF(NOT(ISNUMBER(E9)),"-",E9+E10+E11+E12)</f>
        <v>-</v>
      </c>
      <c r="F24" s="250"/>
      <c r="G24" s="251"/>
      <c r="H24" s="252"/>
      <c r="I24" s="752"/>
      <c r="J24" s="753"/>
      <c r="K24" s="753"/>
      <c r="L24" s="753"/>
      <c r="M24" s="753"/>
      <c r="N24" s="754"/>
      <c r="Q24" s="340"/>
    </row>
    <row r="25" spans="1:17" s="253" customFormat="1" ht="29.25" customHeight="1" thickBot="1">
      <c r="A25" s="305">
        <v>9</v>
      </c>
      <c r="B25" s="759" t="s">
        <v>118</v>
      </c>
      <c r="C25" s="760"/>
      <c r="D25" s="333"/>
      <c r="E25" s="334"/>
      <c r="F25" s="301"/>
      <c r="G25" s="302"/>
      <c r="H25" s="302"/>
      <c r="I25" s="303"/>
      <c r="J25" s="304"/>
      <c r="K25" s="304"/>
      <c r="L25" s="304"/>
      <c r="M25" s="304"/>
      <c r="N25" s="304"/>
      <c r="Q25" s="340"/>
    </row>
    <row r="26" spans="1:17" ht="13" thickBot="1">
      <c r="A26" s="32"/>
      <c r="B26" s="33"/>
      <c r="C26" s="32"/>
      <c r="D26" s="32"/>
      <c r="E26" s="32"/>
      <c r="F26" s="32"/>
      <c r="G26" s="32"/>
      <c r="H26" s="32"/>
      <c r="I26" s="32"/>
      <c r="J26" s="32"/>
      <c r="K26" s="32"/>
      <c r="L26" s="32"/>
      <c r="M26" s="32"/>
      <c r="N26" s="32"/>
    </row>
    <row r="27" spans="1:17" ht="16" thickBot="1">
      <c r="A27" s="721" t="s">
        <v>119</v>
      </c>
      <c r="B27" s="722"/>
      <c r="C27" s="722"/>
      <c r="D27" s="722"/>
      <c r="E27" s="722"/>
      <c r="F27" s="722"/>
      <c r="G27" s="722"/>
      <c r="H27" s="722"/>
      <c r="I27" s="722"/>
      <c r="J27" s="722"/>
      <c r="K27" s="722"/>
      <c r="L27" s="722"/>
      <c r="M27" s="722"/>
      <c r="N27" s="723"/>
    </row>
    <row r="28" spans="1:17" ht="41.25" customHeight="1">
      <c r="A28" s="702" t="s">
        <v>83</v>
      </c>
      <c r="B28" s="761" t="s">
        <v>120</v>
      </c>
      <c r="C28" s="762"/>
      <c r="D28" s="692" t="s">
        <v>121</v>
      </c>
      <c r="E28" s="767"/>
      <c r="F28" s="767"/>
      <c r="G28" s="693"/>
      <c r="H28" s="702" t="s">
        <v>87</v>
      </c>
      <c r="I28" s="692" t="s">
        <v>122</v>
      </c>
      <c r="J28" s="767"/>
      <c r="K28" s="767"/>
      <c r="L28" s="693"/>
      <c r="M28" s="692" t="s">
        <v>123</v>
      </c>
      <c r="N28" s="693"/>
    </row>
    <row r="29" spans="1:17" s="13" customFormat="1" ht="12.5">
      <c r="A29" s="703"/>
      <c r="B29" s="763"/>
      <c r="C29" s="764"/>
      <c r="D29" s="770" t="str">
        <f>D8</f>
        <v>Current Year ()</v>
      </c>
      <c r="E29" s="771"/>
      <c r="F29" s="770" t="str">
        <f>E8</f>
        <v>Horizon (None)</v>
      </c>
      <c r="G29" s="771"/>
      <c r="H29" s="703"/>
      <c r="I29" s="770" t="str">
        <f>D8</f>
        <v>Current Year ()</v>
      </c>
      <c r="J29" s="771"/>
      <c r="K29" s="772" t="str">
        <f>E8</f>
        <v>Horizon (None)</v>
      </c>
      <c r="L29" s="771"/>
      <c r="M29" s="755" t="str">
        <f>D8</f>
        <v>Current Year ()</v>
      </c>
      <c r="N29" s="757" t="str">
        <f>E8</f>
        <v>Horizon (None)</v>
      </c>
      <c r="Q29" s="339"/>
    </row>
    <row r="30" spans="1:17" s="13" customFormat="1" ht="13" thickBot="1">
      <c r="A30" s="703"/>
      <c r="B30" s="765"/>
      <c r="C30" s="766"/>
      <c r="D30" s="48" t="s">
        <v>124</v>
      </c>
      <c r="E30" s="49" t="s">
        <v>125</v>
      </c>
      <c r="F30" s="48" t="s">
        <v>124</v>
      </c>
      <c r="G30" s="49" t="s">
        <v>125</v>
      </c>
      <c r="H30" s="708"/>
      <c r="I30" s="48" t="s">
        <v>124</v>
      </c>
      <c r="J30" s="49" t="s">
        <v>125</v>
      </c>
      <c r="K30" s="608" t="s">
        <v>124</v>
      </c>
      <c r="L30" s="49" t="s">
        <v>125</v>
      </c>
      <c r="M30" s="756"/>
      <c r="N30" s="758"/>
      <c r="Q30" s="339"/>
    </row>
    <row r="31" spans="1:17" s="12" customFormat="1" ht="13.5" thickBot="1">
      <c r="A31" s="50">
        <v>10</v>
      </c>
      <c r="B31" s="773" t="s">
        <v>126</v>
      </c>
      <c r="C31" s="774"/>
      <c r="D31" s="579"/>
      <c r="E31" s="580"/>
      <c r="F31" s="579"/>
      <c r="G31" s="580"/>
      <c r="H31" s="228">
        <f>F9</f>
        <v>0</v>
      </c>
      <c r="I31" s="573">
        <f>D31*$H31</f>
        <v>0</v>
      </c>
      <c r="J31" s="574">
        <f>E31*$H31</f>
        <v>0</v>
      </c>
      <c r="K31" s="609" t="str">
        <f>IF(NOT(ISNUMBER(H9)),H9,F31*$H31)</f>
        <v>---</v>
      </c>
      <c r="L31" s="574" t="str">
        <f>IF(NOT(ISNUMBER(H9)),H9,G31*$H31)</f>
        <v>---</v>
      </c>
      <c r="M31" s="51">
        <f>J31-I31</f>
        <v>0</v>
      </c>
      <c r="N31" s="52" t="str">
        <f>IF(NOT(ISNUMBER(H9)),H9,L31-K31)</f>
        <v>---</v>
      </c>
      <c r="Q31" s="341"/>
    </row>
    <row r="32" spans="1:17" s="12" customFormat="1" ht="14.25" customHeight="1">
      <c r="A32" s="53">
        <v>11</v>
      </c>
      <c r="B32" s="775" t="s">
        <v>127</v>
      </c>
      <c r="C32" s="776"/>
      <c r="D32" s="563" t="s">
        <v>112</v>
      </c>
      <c r="E32" s="564" t="s">
        <v>112</v>
      </c>
      <c r="F32" s="564" t="s">
        <v>112</v>
      </c>
      <c r="G32" s="565" t="s">
        <v>112</v>
      </c>
      <c r="H32" s="566" t="s">
        <v>112</v>
      </c>
      <c r="I32" s="610"/>
      <c r="J32" s="582"/>
      <c r="K32" s="581"/>
      <c r="L32" s="582"/>
      <c r="M32" s="54">
        <f>J32-I32</f>
        <v>0</v>
      </c>
      <c r="N32" s="55" t="str">
        <f t="shared" ref="N32:N40" si="0">IF(NOT(ISNUMBER($H$9)),$H$9,L32-K32)</f>
        <v>---</v>
      </c>
      <c r="Q32" s="341"/>
    </row>
    <row r="33" spans="1:17" s="12" customFormat="1" ht="14.25" customHeight="1">
      <c r="A33" s="56">
        <v>12</v>
      </c>
      <c r="B33" s="768" t="s">
        <v>128</v>
      </c>
      <c r="C33" s="769"/>
      <c r="D33" s="185" t="s">
        <v>112</v>
      </c>
      <c r="E33" s="567" t="s">
        <v>112</v>
      </c>
      <c r="F33" s="567" t="s">
        <v>112</v>
      </c>
      <c r="G33" s="568" t="s">
        <v>112</v>
      </c>
      <c r="H33" s="569" t="s">
        <v>112</v>
      </c>
      <c r="I33" s="611"/>
      <c r="J33" s="584"/>
      <c r="K33" s="583"/>
      <c r="L33" s="584"/>
      <c r="M33" s="57">
        <f t="shared" ref="M33:M40" si="1">J33-I33</f>
        <v>0</v>
      </c>
      <c r="N33" s="599" t="str">
        <f t="shared" si="0"/>
        <v>---</v>
      </c>
      <c r="P33" s="335"/>
      <c r="Q33" s="476"/>
    </row>
    <row r="34" spans="1:17" s="12" customFormat="1" ht="14.25" customHeight="1">
      <c r="A34" s="56">
        <v>13</v>
      </c>
      <c r="B34" s="768" t="s">
        <v>129</v>
      </c>
      <c r="C34" s="769"/>
      <c r="D34" s="185" t="s">
        <v>112</v>
      </c>
      <c r="E34" s="567" t="s">
        <v>112</v>
      </c>
      <c r="F34" s="567" t="s">
        <v>112</v>
      </c>
      <c r="G34" s="568" t="s">
        <v>112</v>
      </c>
      <c r="H34" s="569" t="s">
        <v>112</v>
      </c>
      <c r="I34" s="611"/>
      <c r="J34" s="584"/>
      <c r="K34" s="583"/>
      <c r="L34" s="584"/>
      <c r="M34" s="57">
        <f t="shared" si="1"/>
        <v>0</v>
      </c>
      <c r="N34" s="599" t="str">
        <f t="shared" si="0"/>
        <v>---</v>
      </c>
      <c r="Q34" s="477"/>
    </row>
    <row r="35" spans="1:17" s="12" customFormat="1" ht="14.25" customHeight="1">
      <c r="A35" s="56">
        <v>14</v>
      </c>
      <c r="B35" s="768" t="s">
        <v>130</v>
      </c>
      <c r="C35" s="769"/>
      <c r="D35" s="185" t="s">
        <v>112</v>
      </c>
      <c r="E35" s="567" t="s">
        <v>112</v>
      </c>
      <c r="F35" s="567" t="s">
        <v>112</v>
      </c>
      <c r="G35" s="568" t="s">
        <v>112</v>
      </c>
      <c r="H35" s="569" t="s">
        <v>112</v>
      </c>
      <c r="I35" s="611"/>
      <c r="J35" s="584"/>
      <c r="K35" s="583"/>
      <c r="L35" s="584"/>
      <c r="M35" s="57">
        <f t="shared" si="1"/>
        <v>0</v>
      </c>
      <c r="N35" s="599" t="str">
        <f t="shared" si="0"/>
        <v>---</v>
      </c>
      <c r="Q35" s="477"/>
    </row>
    <row r="36" spans="1:17" s="12" customFormat="1" ht="14.25" customHeight="1">
      <c r="A36" s="56">
        <v>15</v>
      </c>
      <c r="B36" s="768" t="s">
        <v>131</v>
      </c>
      <c r="C36" s="769"/>
      <c r="D36" s="185" t="s">
        <v>112</v>
      </c>
      <c r="E36" s="567" t="s">
        <v>112</v>
      </c>
      <c r="F36" s="567" t="s">
        <v>112</v>
      </c>
      <c r="G36" s="568" t="s">
        <v>112</v>
      </c>
      <c r="H36" s="569" t="s">
        <v>112</v>
      </c>
      <c r="I36" s="611"/>
      <c r="J36" s="584"/>
      <c r="K36" s="583"/>
      <c r="L36" s="584"/>
      <c r="M36" s="57">
        <f t="shared" si="1"/>
        <v>0</v>
      </c>
      <c r="N36" s="599" t="str">
        <f t="shared" si="0"/>
        <v>---</v>
      </c>
      <c r="Q36" s="341"/>
    </row>
    <row r="37" spans="1:17" s="12" customFormat="1" ht="14.25" customHeight="1">
      <c r="A37" s="56">
        <v>16</v>
      </c>
      <c r="B37" s="768" t="s">
        <v>132</v>
      </c>
      <c r="C37" s="769"/>
      <c r="D37" s="185" t="s">
        <v>112</v>
      </c>
      <c r="E37" s="567" t="s">
        <v>112</v>
      </c>
      <c r="F37" s="567" t="s">
        <v>112</v>
      </c>
      <c r="G37" s="568" t="s">
        <v>112</v>
      </c>
      <c r="H37" s="569" t="s">
        <v>112</v>
      </c>
      <c r="I37" s="611"/>
      <c r="J37" s="584"/>
      <c r="K37" s="583"/>
      <c r="L37" s="584"/>
      <c r="M37" s="57">
        <f t="shared" si="1"/>
        <v>0</v>
      </c>
      <c r="N37" s="599" t="str">
        <f t="shared" si="0"/>
        <v>---</v>
      </c>
      <c r="Q37" s="341"/>
    </row>
    <row r="38" spans="1:17" s="12" customFormat="1" ht="14.25" customHeight="1">
      <c r="A38" s="56">
        <v>17</v>
      </c>
      <c r="B38" s="768" t="s">
        <v>133</v>
      </c>
      <c r="C38" s="769"/>
      <c r="D38" s="185" t="s">
        <v>112</v>
      </c>
      <c r="E38" s="567" t="s">
        <v>112</v>
      </c>
      <c r="F38" s="567" t="s">
        <v>112</v>
      </c>
      <c r="G38" s="568" t="s">
        <v>112</v>
      </c>
      <c r="H38" s="569" t="s">
        <v>112</v>
      </c>
      <c r="I38" s="611"/>
      <c r="J38" s="584"/>
      <c r="K38" s="583"/>
      <c r="L38" s="584"/>
      <c r="M38" s="57">
        <f t="shared" si="1"/>
        <v>0</v>
      </c>
      <c r="N38" s="599" t="str">
        <f t="shared" si="0"/>
        <v>---</v>
      </c>
      <c r="Q38" s="341"/>
    </row>
    <row r="39" spans="1:17" s="12" customFormat="1" ht="14.25" customHeight="1">
      <c r="A39" s="56">
        <v>18</v>
      </c>
      <c r="B39" s="768" t="s">
        <v>134</v>
      </c>
      <c r="C39" s="769"/>
      <c r="D39" s="185" t="s">
        <v>112</v>
      </c>
      <c r="E39" s="567" t="s">
        <v>112</v>
      </c>
      <c r="F39" s="567" t="s">
        <v>112</v>
      </c>
      <c r="G39" s="568" t="s">
        <v>112</v>
      </c>
      <c r="H39" s="569" t="s">
        <v>112</v>
      </c>
      <c r="I39" s="611"/>
      <c r="J39" s="584"/>
      <c r="K39" s="583"/>
      <c r="L39" s="584"/>
      <c r="M39" s="57">
        <f t="shared" si="1"/>
        <v>0</v>
      </c>
      <c r="N39" s="599" t="str">
        <f t="shared" si="0"/>
        <v>---</v>
      </c>
      <c r="Q39" s="341"/>
    </row>
    <row r="40" spans="1:17" s="12" customFormat="1" ht="14.25" customHeight="1" thickBot="1">
      <c r="A40" s="59">
        <v>19</v>
      </c>
      <c r="B40" s="777" t="s">
        <v>135</v>
      </c>
      <c r="C40" s="778"/>
      <c r="D40" s="188" t="s">
        <v>112</v>
      </c>
      <c r="E40" s="570" t="s">
        <v>112</v>
      </c>
      <c r="F40" s="570" t="s">
        <v>112</v>
      </c>
      <c r="G40" s="571" t="s">
        <v>112</v>
      </c>
      <c r="H40" s="572" t="s">
        <v>112</v>
      </c>
      <c r="I40" s="612"/>
      <c r="J40" s="586"/>
      <c r="K40" s="585"/>
      <c r="L40" s="586"/>
      <c r="M40" s="60">
        <f t="shared" si="1"/>
        <v>0</v>
      </c>
      <c r="N40" s="600" t="str">
        <f t="shared" si="0"/>
        <v>---</v>
      </c>
      <c r="Q40" s="341"/>
    </row>
    <row r="41" spans="1:17" s="10" customFormat="1" ht="15" customHeight="1">
      <c r="B41" s="11"/>
      <c r="Q41" s="342"/>
    </row>
    <row r="42" spans="1:17" ht="27.75" customHeight="1">
      <c r="B42" s="779" t="s">
        <v>136</v>
      </c>
      <c r="C42" s="779"/>
      <c r="D42" s="779"/>
      <c r="E42" s="779"/>
      <c r="F42" s="779"/>
      <c r="G42" s="779"/>
      <c r="H42" s="779"/>
      <c r="I42" s="779"/>
      <c r="J42" s="779"/>
      <c r="K42" s="779"/>
      <c r="L42" s="779"/>
      <c r="M42" s="779"/>
      <c r="N42" s="779"/>
    </row>
  </sheetData>
  <sheetProtection algorithmName="SHA-512" hashValue="4/bmpnQy1JD3YRN8wdyk4x0EqOoc0yjKPb27ZmufGVBRIW68dZMS+UO83a46EDHRizLy3a/NhsHyeOiLJFuhQQ==" saltValue="VhbRNrBALdEbybkw8Mvy4w==" spinCount="100000" sheet="1" formatCells="0" formatColumns="0" formatRows="0" insertColumns="0" insertRows="0" insertHyperlinks="0" selectLockedCells="1"/>
  <mergeCells count="63">
    <mergeCell ref="B37:C37"/>
    <mergeCell ref="B38:C38"/>
    <mergeCell ref="B39:C39"/>
    <mergeCell ref="B40:C40"/>
    <mergeCell ref="B42:N42"/>
    <mergeCell ref="B36:C36"/>
    <mergeCell ref="D29:E29"/>
    <mergeCell ref="F29:G29"/>
    <mergeCell ref="I29:J29"/>
    <mergeCell ref="K29:L29"/>
    <mergeCell ref="B31:C31"/>
    <mergeCell ref="B32:C32"/>
    <mergeCell ref="B33:C33"/>
    <mergeCell ref="B34:C34"/>
    <mergeCell ref="B35:C35"/>
    <mergeCell ref="B23:C23"/>
    <mergeCell ref="I23:N23"/>
    <mergeCell ref="M29:M30"/>
    <mergeCell ref="N29:N30"/>
    <mergeCell ref="B24:C24"/>
    <mergeCell ref="I24:N24"/>
    <mergeCell ref="B25:C25"/>
    <mergeCell ref="A27:N27"/>
    <mergeCell ref="A28:A30"/>
    <mergeCell ref="B28:C30"/>
    <mergeCell ref="D28:G28"/>
    <mergeCell ref="H28:H30"/>
    <mergeCell ref="I28:L28"/>
    <mergeCell ref="M28:N28"/>
    <mergeCell ref="B19:B20"/>
    <mergeCell ref="F19:F20"/>
    <mergeCell ref="I19:N20"/>
    <mergeCell ref="B21:B22"/>
    <mergeCell ref="F21:F22"/>
    <mergeCell ref="I21:N21"/>
    <mergeCell ref="I22:N22"/>
    <mergeCell ref="B15:B16"/>
    <mergeCell ref="F15:F16"/>
    <mergeCell ref="I15:N16"/>
    <mergeCell ref="B17:B18"/>
    <mergeCell ref="F17:F18"/>
    <mergeCell ref="I17:N18"/>
    <mergeCell ref="B13:B14"/>
    <mergeCell ref="F13:F14"/>
    <mergeCell ref="I13:N14"/>
    <mergeCell ref="B11:B12"/>
    <mergeCell ref="F11:F12"/>
    <mergeCell ref="I11:N12"/>
    <mergeCell ref="A1:N1"/>
    <mergeCell ref="A2:C2"/>
    <mergeCell ref="D2:N2"/>
    <mergeCell ref="A4:N4"/>
    <mergeCell ref="A6:N6"/>
    <mergeCell ref="G7:H7"/>
    <mergeCell ref="I7:N8"/>
    <mergeCell ref="B9:B10"/>
    <mergeCell ref="A7:A8"/>
    <mergeCell ref="B7:B8"/>
    <mergeCell ref="C7:C8"/>
    <mergeCell ref="D7:E7"/>
    <mergeCell ref="F7:F8"/>
    <mergeCell ref="F9:F10"/>
    <mergeCell ref="I9:N10"/>
  </mergeCells>
  <conditionalFormatting sqref="A4">
    <cfRule type="expression" dxfId="29" priority="6">
      <formula>$A4&lt;&gt;""</formula>
    </cfRule>
  </conditionalFormatting>
  <pageMargins left="0.25" right="0.25" top="0.75" bottom="0.75" header="0.3" footer="0.3"/>
  <pageSetup scale="67" orientation="landscape" horizontalDpi="4294967293" verticalDpi="4294967293" r:id="rId1"/>
  <ignoredErrors>
    <ignoredError sqref="G10:G11 G13:G19" formula="1"/>
  </ignoredErrors>
  <extLst>
    <ext xmlns:x14="http://schemas.microsoft.com/office/spreadsheetml/2009/9/main" uri="{78C0D931-6437-407d-A8EE-F0AAD7539E65}">
      <x14:conditionalFormattings>
        <x14:conditionalFormatting xmlns:xm="http://schemas.microsoft.com/office/excel/2006/main">
          <x14:cfRule type="expression" priority="7" id="{2AFA4CB2-719E-4D27-BB81-B0AA19DA797F}">
            <xm:f>'Project Description'!$C$92="Yes"</xm:f>
            <x14:dxf>
              <fill>
                <patternFill>
                  <bgColor theme="0" tint="-0.14996795556505021"/>
                </patternFill>
              </fill>
            </x14:dxf>
          </x14:cfRule>
          <xm:sqref>B13:B20 D9:E20 F9:F10 F13:F20 I13:N20 D25:E25 D31:G31 K32:L40</xm:sqref>
        </x14:conditionalFormatting>
        <x14:conditionalFormatting xmlns:xm="http://schemas.microsoft.com/office/excel/2006/main">
          <x14:cfRule type="expression" priority="86" id="{7EEF03E8-8E51-4420-9732-4AF35711B69D}">
            <xm:f>OR('Project Description'!$C$96="(Select…)",'Project Description'!$C$96="None")</xm:f>
            <x14:dxf>
              <fill>
                <patternFill>
                  <bgColor theme="0" tint="-0.14996795556505021"/>
                </patternFill>
              </fill>
            </x14:dxf>
          </x14:cfRule>
          <xm:sqref>E9:E20 E25 F31:G31 K32:L40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2"/>
  <sheetViews>
    <sheetView showGridLines="0" zoomScaleNormal="100" zoomScaleSheetLayoutView="100" workbookViewId="0">
      <selection activeCell="O8" sqref="O8"/>
    </sheetView>
  </sheetViews>
  <sheetFormatPr defaultColWidth="9.33203125" defaultRowHeight="15" customHeight="1"/>
  <cols>
    <col min="1" max="1" width="6.6640625" style="32" customWidth="1"/>
    <col min="2" max="2" width="23.44140625" style="33" customWidth="1"/>
    <col min="3" max="3" width="28.33203125" style="32" customWidth="1"/>
    <col min="4" max="8" width="13.6640625" style="32" customWidth="1"/>
    <col min="9" max="12" width="18.6640625" style="32" customWidth="1"/>
    <col min="13" max="14" width="16.6640625" style="32" customWidth="1"/>
    <col min="15" max="15" width="9.33203125" style="32"/>
    <col min="16" max="16" width="24.109375" style="32" customWidth="1"/>
    <col min="17" max="16384" width="9.33203125" style="32"/>
  </cols>
  <sheetData>
    <row r="1" spans="1:17" s="479" customFormat="1" ht="20.25" customHeight="1" thickBot="1">
      <c r="A1" s="648" t="s">
        <v>501</v>
      </c>
      <c r="B1" s="649"/>
      <c r="C1" s="649"/>
      <c r="D1" s="649"/>
      <c r="E1" s="649"/>
      <c r="F1" s="649"/>
      <c r="G1" s="649"/>
      <c r="H1" s="649"/>
      <c r="I1" s="649"/>
      <c r="J1" s="649"/>
      <c r="K1" s="649"/>
      <c r="L1" s="649"/>
      <c r="M1" s="649"/>
      <c r="N1" s="650"/>
    </row>
    <row r="2" spans="1:17" s="481" customFormat="1" ht="16" thickBot="1">
      <c r="A2" s="717" t="s">
        <v>0</v>
      </c>
      <c r="B2" s="718"/>
      <c r="C2" s="718"/>
      <c r="D2" s="717" t="str">
        <f>+Finance!B2</f>
        <v/>
      </c>
      <c r="E2" s="718"/>
      <c r="F2" s="718"/>
      <c r="G2" s="718"/>
      <c r="H2" s="718"/>
      <c r="I2" s="718"/>
      <c r="J2" s="718"/>
      <c r="K2" s="718"/>
      <c r="L2" s="718"/>
      <c r="M2" s="718"/>
      <c r="N2" s="719"/>
    </row>
    <row r="3" spans="1:17" s="19" customFormat="1" ht="6" customHeight="1">
      <c r="A3" s="453"/>
      <c r="B3" s="273"/>
      <c r="C3" s="273"/>
      <c r="D3" s="273"/>
      <c r="E3" s="273"/>
      <c r="F3" s="273"/>
      <c r="G3" s="273"/>
      <c r="H3" s="273"/>
      <c r="I3" s="273"/>
      <c r="J3" s="273"/>
      <c r="K3" s="273"/>
      <c r="L3" s="273"/>
      <c r="M3" s="273"/>
      <c r="N3" s="273"/>
    </row>
    <row r="4" spans="1:17" ht="15" customHeight="1">
      <c r="A4" s="720" t="str">
        <f>IF('Project Description'!$C$92="Yes","*** Travel forecasts are not required for projects that qualify for warrants.  Complete only the current year transit VMT section (for use in the Env. Ben. measure) below. ***","")</f>
        <v/>
      </c>
      <c r="B4" s="720"/>
      <c r="C4" s="720"/>
      <c r="D4" s="720"/>
      <c r="E4" s="720"/>
      <c r="F4" s="720"/>
      <c r="G4" s="720"/>
      <c r="H4" s="720"/>
      <c r="I4" s="720"/>
      <c r="J4" s="720"/>
      <c r="K4" s="720"/>
      <c r="L4" s="720"/>
      <c r="M4" s="720"/>
      <c r="N4" s="720"/>
    </row>
    <row r="5" spans="1:17" ht="6" customHeight="1" thickBot="1">
      <c r="B5" s="274"/>
      <c r="C5" s="274"/>
      <c r="D5" s="274"/>
      <c r="E5" s="274"/>
      <c r="F5" s="274"/>
      <c r="G5" s="274"/>
      <c r="H5" s="274"/>
      <c r="I5" s="274"/>
      <c r="J5" s="274"/>
      <c r="K5" s="274"/>
      <c r="L5" s="274"/>
      <c r="M5" s="274"/>
      <c r="N5" s="274"/>
    </row>
    <row r="6" spans="1:17" ht="16" thickBot="1">
      <c r="A6" s="721" t="s">
        <v>82</v>
      </c>
      <c r="B6" s="722"/>
      <c r="C6" s="722"/>
      <c r="D6" s="722"/>
      <c r="E6" s="722"/>
      <c r="F6" s="722"/>
      <c r="G6" s="722"/>
      <c r="H6" s="722"/>
      <c r="I6" s="722"/>
      <c r="J6" s="722"/>
      <c r="K6" s="722"/>
      <c r="L6" s="722"/>
      <c r="M6" s="722"/>
      <c r="N6" s="723"/>
    </row>
    <row r="7" spans="1:17" ht="40.5" customHeight="1">
      <c r="A7" s="702" t="s">
        <v>83</v>
      </c>
      <c r="B7" s="704" t="s">
        <v>84</v>
      </c>
      <c r="C7" s="706" t="s">
        <v>85</v>
      </c>
      <c r="D7" s="692" t="s">
        <v>86</v>
      </c>
      <c r="E7" s="693"/>
      <c r="F7" s="785"/>
      <c r="G7" s="692" t="s">
        <v>88</v>
      </c>
      <c r="H7" s="693"/>
      <c r="I7" s="694" t="s">
        <v>89</v>
      </c>
      <c r="J7" s="695"/>
      <c r="K7" s="695"/>
      <c r="L7" s="695"/>
      <c r="M7" s="695"/>
      <c r="N7" s="696"/>
    </row>
    <row r="8" spans="1:17" s="482" customFormat="1" ht="28.5" customHeight="1" thickBot="1">
      <c r="A8" s="703"/>
      <c r="B8" s="705"/>
      <c r="C8" s="707"/>
      <c r="D8" s="34" t="str">
        <f>CONCATENATE("Current Year (",'Project Description'!A96,")")</f>
        <v>Current Year ()</v>
      </c>
      <c r="E8" s="35" t="str">
        <f>CONCATENATE("Horizon (",IF('Project Description'!$C$92="Yes","N/A",IF('Project Description'!C96="(Select…)","",'Project Description'!C96)),")")</f>
        <v>Horizon (None)</v>
      </c>
      <c r="F8" s="786"/>
      <c r="G8" s="34" t="str">
        <f>D8</f>
        <v>Current Year ()</v>
      </c>
      <c r="H8" s="35" t="str">
        <f>E8</f>
        <v>Horizon (None)</v>
      </c>
      <c r="I8" s="697"/>
      <c r="J8" s="698"/>
      <c r="K8" s="698"/>
      <c r="L8" s="698"/>
      <c r="M8" s="698"/>
      <c r="N8" s="699"/>
    </row>
    <row r="9" spans="1:17" ht="14.25" customHeight="1">
      <c r="A9" s="36" t="s">
        <v>90</v>
      </c>
      <c r="B9" s="700" t="s">
        <v>91</v>
      </c>
      <c r="C9" s="604" t="s">
        <v>92</v>
      </c>
      <c r="D9" s="37">
        <f>'Travel Forecasts Input'!D9*Lookups!$H$34</f>
        <v>0</v>
      </c>
      <c r="E9" s="38" t="str">
        <f>IF(ISNUMBER(_xlfn.XLOOKUP('Project Description'!$C$96,Lookups!$I$33:$L$33,Lookups!$I$34:$L$34)),'Travel Forecasts Input'!E9*_xlfn.XLOOKUP('Project Description'!$C$96,Lookups!$I$33:$L$33,Lookups!$I$34:$L$34), _xlfn.XLOOKUP('Project Description'!$C$96,Lookups!$I$33:$L$33,Lookups!$I$34:$L$34))</f>
        <v>---</v>
      </c>
      <c r="F9" s="789"/>
      <c r="G9" s="37">
        <f>'Travel Forecasts Input'!G9*Lookups!$H$34</f>
        <v>0</v>
      </c>
      <c r="H9" s="38" t="str">
        <f>IF(ISNUMBER(_xlfn.XLOOKUP('Project Description'!$C$96,Lookups!$I$33:$L$33,Lookups!$I$34:$L$34)),'Travel Forecasts Input'!H9*_xlfn.XLOOKUP('Project Description'!$C$96,Lookups!$I$33:$L$33,Lookups!$I$34:$L$34), _xlfn.XLOOKUP('Project Description'!$C$96,Lookups!$I$33:$L$33,Lookups!$I$34:$L$34))</f>
        <v>---</v>
      </c>
      <c r="I9" s="711" t="str">
        <f>IF('Project Description'!C107="(Select...)","(Linked from Type of Model Used for Travel Forecasts field of Project Description Template)",'Project Description'!C107)</f>
        <v>(Linked from Type of Model Used for Travel Forecasts field of Project Description Template)</v>
      </c>
      <c r="J9" s="712"/>
      <c r="K9" s="712"/>
      <c r="L9" s="712"/>
      <c r="M9" s="712"/>
      <c r="N9" s="713"/>
    </row>
    <row r="10" spans="1:17" ht="14.25" customHeight="1">
      <c r="A10" s="39" t="s">
        <v>93</v>
      </c>
      <c r="B10" s="701"/>
      <c r="C10" s="605" t="s">
        <v>94</v>
      </c>
      <c r="D10" s="40">
        <f>'Travel Forecasts Input'!D10*Lookups!$H$34</f>
        <v>0</v>
      </c>
      <c r="E10" s="41" t="str">
        <f>IF(ISNUMBER(_xlfn.XLOOKUP('Project Description'!$C$96,Lookups!$I$33:$L$33,Lookups!$I$34:$L$34)),'Travel Forecasts Input'!E10*_xlfn.XLOOKUP('Project Description'!$C$96,Lookups!$I$33:$L$33,Lookups!$I$34:$L$34), _xlfn.XLOOKUP('Project Description'!$C$96,Lookups!$I$33:$L$33,Lookups!$I$34:$L$34))</f>
        <v>---</v>
      </c>
      <c r="F10" s="783"/>
      <c r="G10" s="40">
        <f>'Travel Forecasts Input'!G10*Lookups!$H$34</f>
        <v>0</v>
      </c>
      <c r="H10" s="41" t="str">
        <f>IF(ISNUMBER(_xlfn.XLOOKUP('Project Description'!$C$96,Lookups!$I$33:$L$33,Lookups!$I$34:$L$34)),'Travel Forecasts Input'!H10*_xlfn.XLOOKUP('Project Description'!$C$96,Lookups!$I$33:$L$33,Lookups!$I$34:$L$34), _xlfn.XLOOKUP('Project Description'!$C$96,Lookups!$I$33:$L$33,Lookups!$I$34:$L$34))</f>
        <v>---</v>
      </c>
      <c r="I10" s="714"/>
      <c r="J10" s="715"/>
      <c r="K10" s="715"/>
      <c r="L10" s="715"/>
      <c r="M10" s="715"/>
      <c r="N10" s="716"/>
      <c r="Q10" s="560"/>
    </row>
    <row r="11" spans="1:17" ht="14.25" customHeight="1">
      <c r="A11" s="42" t="s">
        <v>95</v>
      </c>
      <c r="B11" s="701" t="s">
        <v>96</v>
      </c>
      <c r="C11" s="606" t="s">
        <v>92</v>
      </c>
      <c r="D11" s="43">
        <f>'Travel Forecasts Input'!D11*Lookups!$H$34</f>
        <v>0</v>
      </c>
      <c r="E11" s="44" t="str">
        <f>IF(ISNUMBER(_xlfn.XLOOKUP('Project Description'!$C$96,Lookups!$I$33:$L$33,Lookups!$I$34:$L$34)),'Travel Forecasts Input'!E11*_xlfn.XLOOKUP('Project Description'!$C$96,Lookups!$I$33:$L$33,Lookups!$I$34:$L$34), _xlfn.XLOOKUP('Project Description'!$C$96,Lookups!$I$33:$L$33,Lookups!$I$34:$L$34))</f>
        <v>---</v>
      </c>
      <c r="F11" s="783"/>
      <c r="G11" s="43">
        <f>'Travel Forecasts Input'!G11*Lookups!$H$34</f>
        <v>0</v>
      </c>
      <c r="H11" s="44" t="str">
        <f>IF(ISNUMBER(_xlfn.XLOOKUP('Project Description'!$C$96,Lookups!$I$33:$L$33,Lookups!$I$34:$L$34)),'Travel Forecasts Input'!H11*_xlfn.XLOOKUP('Project Description'!$C$96,Lookups!$I$33:$L$33,Lookups!$I$34:$L$34), _xlfn.XLOOKUP('Project Description'!$C$96,Lookups!$I$33:$L$33,Lookups!$I$34:$L$34))</f>
        <v>---</v>
      </c>
      <c r="I11" s="729" t="str">
        <f>IF('Project Description'!C107="(Select...)","(Linked from Type of Model Used for Travel Forecasts field of Project Description Template)",'Project Description'!C107)</f>
        <v>(Linked from Type of Model Used for Travel Forecasts field of Project Description Template)</v>
      </c>
      <c r="J11" s="730"/>
      <c r="K11" s="730"/>
      <c r="L11" s="730"/>
      <c r="M11" s="730"/>
      <c r="N11" s="731"/>
    </row>
    <row r="12" spans="1:17" ht="14.25" customHeight="1">
      <c r="A12" s="39" t="s">
        <v>97</v>
      </c>
      <c r="B12" s="701"/>
      <c r="C12" s="605" t="s">
        <v>94</v>
      </c>
      <c r="D12" s="40">
        <f>'Travel Forecasts Input'!D12*Lookups!$H$34</f>
        <v>0</v>
      </c>
      <c r="E12" s="41" t="str">
        <f>IF(ISNUMBER(_xlfn.XLOOKUP('Project Description'!$C$96,Lookups!$I$33:$L$33,Lookups!$I$34:$L$34)),'Travel Forecasts Input'!E12*_xlfn.XLOOKUP('Project Description'!$C$96,Lookups!$I$33:$L$33,Lookups!$I$34:$L$34), _xlfn.XLOOKUP('Project Description'!$C$96,Lookups!$I$33:$L$33,Lookups!$I$34:$L$34))</f>
        <v>---</v>
      </c>
      <c r="F12" s="783"/>
      <c r="G12" s="40">
        <f>'Travel Forecasts Input'!G12*Lookups!$H$34</f>
        <v>0</v>
      </c>
      <c r="H12" s="41" t="str">
        <f>IF(ISNUMBER(_xlfn.XLOOKUP('Project Description'!$C$96,Lookups!$I$33:$L$33,Lookups!$I$34:$L$34)),'Travel Forecasts Input'!H12*_xlfn.XLOOKUP('Project Description'!$C$96,Lookups!$I$33:$L$33,Lookups!$I$34:$L$34), _xlfn.XLOOKUP('Project Description'!$C$96,Lookups!$I$33:$L$33,Lookups!$I$34:$L$34))</f>
        <v>---</v>
      </c>
      <c r="I12" s="729"/>
      <c r="J12" s="730"/>
      <c r="K12" s="730"/>
      <c r="L12" s="730"/>
      <c r="M12" s="730"/>
      <c r="N12" s="731"/>
    </row>
    <row r="13" spans="1:17" ht="14.25" customHeight="1">
      <c r="A13" s="42" t="s">
        <v>98</v>
      </c>
      <c r="B13" s="701" t="str">
        <f>'Travel Forecasts Input'!B13</f>
        <v>Special market 1 (specify)</v>
      </c>
      <c r="C13" s="606" t="s">
        <v>92</v>
      </c>
      <c r="D13" s="43">
        <f>'Travel Forecasts Input'!D13*Lookups!$H$34</f>
        <v>0</v>
      </c>
      <c r="E13" s="44" t="str">
        <f>IF(ISNUMBER(_xlfn.XLOOKUP('Project Description'!$C$96,Lookups!$I$33:$L$33,Lookups!$I$34:$L$34)),'Travel Forecasts Input'!E13*_xlfn.XLOOKUP('Project Description'!$C$96,Lookups!$I$33:$L$33,Lookups!$I$34:$L$34), _xlfn.XLOOKUP('Project Description'!$C$96,Lookups!$I$33:$L$33,Lookups!$I$34:$L$34))</f>
        <v>---</v>
      </c>
      <c r="F13" s="783"/>
      <c r="G13" s="43">
        <f>'Travel Forecasts Input'!G13*Lookups!$H$34</f>
        <v>0</v>
      </c>
      <c r="H13" s="44" t="str">
        <f>IF(ISNUMBER(_xlfn.XLOOKUP('Project Description'!$C$96,Lookups!$I$33:$L$33,Lookups!$I$34:$L$34)),'Travel Forecasts Input'!H13*_xlfn.XLOOKUP('Project Description'!$C$96,Lookups!$I$33:$L$33,Lookups!$I$34:$L$34), _xlfn.XLOOKUP('Project Description'!$C$96,Lookups!$I$33:$L$33,Lookups!$I$34:$L$34))</f>
        <v>---</v>
      </c>
      <c r="I13" s="729" t="str">
        <f>IF(ISBLANK('Travel Forecasts Input'!I13)=TRUE, "", 'Travel Forecasts Input'!I13)</f>
        <v/>
      </c>
      <c r="J13" s="730"/>
      <c r="K13" s="730"/>
      <c r="L13" s="730"/>
      <c r="M13" s="730"/>
      <c r="N13" s="731"/>
    </row>
    <row r="14" spans="1:17" ht="14.25" customHeight="1">
      <c r="A14" s="39" t="s">
        <v>100</v>
      </c>
      <c r="B14" s="701"/>
      <c r="C14" s="605" t="s">
        <v>94</v>
      </c>
      <c r="D14" s="40">
        <f>'Travel Forecasts Input'!D14*Lookups!$H$34</f>
        <v>0</v>
      </c>
      <c r="E14" s="41" t="str">
        <f>IF(ISNUMBER(_xlfn.XLOOKUP('Project Description'!$C$96,Lookups!$I$33:$L$33,Lookups!$I$34:$L$34)),'Travel Forecasts Input'!E14*_xlfn.XLOOKUP('Project Description'!$C$96,Lookups!$I$33:$L$33,Lookups!$I$34:$L$34), _xlfn.XLOOKUP('Project Description'!$C$96,Lookups!$I$33:$L$33,Lookups!$I$34:$L$34))</f>
        <v>---</v>
      </c>
      <c r="F14" s="783"/>
      <c r="G14" s="40">
        <f>'Travel Forecasts Input'!G14*Lookups!$H$34</f>
        <v>0</v>
      </c>
      <c r="H14" s="41" t="str">
        <f>IF(ISNUMBER(_xlfn.XLOOKUP('Project Description'!$C$96,Lookups!$I$33:$L$33,Lookups!$I$34:$L$34)),'Travel Forecasts Input'!H14*_xlfn.XLOOKUP('Project Description'!$C$96,Lookups!$I$33:$L$33,Lookups!$I$34:$L$34), _xlfn.XLOOKUP('Project Description'!$C$96,Lookups!$I$33:$L$33,Lookups!$I$34:$L$34))</f>
        <v>---</v>
      </c>
      <c r="I14" s="729"/>
      <c r="J14" s="730"/>
      <c r="K14" s="730"/>
      <c r="L14" s="730"/>
      <c r="M14" s="730"/>
      <c r="N14" s="731"/>
    </row>
    <row r="15" spans="1:17" ht="14.25" customHeight="1">
      <c r="A15" s="42" t="s">
        <v>101</v>
      </c>
      <c r="B15" s="701" t="str">
        <f>'Travel Forecasts Input'!B15</f>
        <v>Special market 2 (specify)</v>
      </c>
      <c r="C15" s="606" t="s">
        <v>92</v>
      </c>
      <c r="D15" s="43">
        <f>'Travel Forecasts Input'!D15*Lookups!$H$34</f>
        <v>0</v>
      </c>
      <c r="E15" s="44" t="str">
        <f>IF(ISNUMBER(_xlfn.XLOOKUP('Project Description'!$C$96,Lookups!$I$33:$L$33,Lookups!$I$34:$L$34)),'Travel Forecasts Input'!E15*_xlfn.XLOOKUP('Project Description'!$C$96,Lookups!$I$33:$L$33,Lookups!$I$34:$L$34), _xlfn.XLOOKUP('Project Description'!$C$96,Lookups!$I$33:$L$33,Lookups!$I$34:$L$34))</f>
        <v>---</v>
      </c>
      <c r="F15" s="783"/>
      <c r="G15" s="43">
        <f>'Travel Forecasts Input'!G15*Lookups!$H$34</f>
        <v>0</v>
      </c>
      <c r="H15" s="44" t="str">
        <f>IF(ISNUMBER(_xlfn.XLOOKUP('Project Description'!$C$96,Lookups!$I$33:$L$33,Lookups!$I$34:$L$34)),'Travel Forecasts Input'!H15*_xlfn.XLOOKUP('Project Description'!$C$96,Lookups!$I$33:$L$33,Lookups!$I$34:$L$34), _xlfn.XLOOKUP('Project Description'!$C$96,Lookups!$I$33:$L$33,Lookups!$I$34:$L$34))</f>
        <v>---</v>
      </c>
      <c r="I15" s="729" t="str">
        <f>IF(ISBLANK('Travel Forecasts Input'!I15)=TRUE, "", 'Travel Forecasts Input'!I15)</f>
        <v/>
      </c>
      <c r="J15" s="730"/>
      <c r="K15" s="730"/>
      <c r="L15" s="730"/>
      <c r="M15" s="730"/>
      <c r="N15" s="731"/>
    </row>
    <row r="16" spans="1:17" ht="14.25" customHeight="1">
      <c r="A16" s="39" t="s">
        <v>103</v>
      </c>
      <c r="B16" s="701"/>
      <c r="C16" s="605" t="s">
        <v>94</v>
      </c>
      <c r="D16" s="40">
        <f>'Travel Forecasts Input'!D16*Lookups!$H$34</f>
        <v>0</v>
      </c>
      <c r="E16" s="41" t="str">
        <f>IF(ISNUMBER(_xlfn.XLOOKUP('Project Description'!$C$96,Lookups!$I$33:$L$33,Lookups!$I$34:$L$34)),'Travel Forecasts Input'!E16*_xlfn.XLOOKUP('Project Description'!$C$96,Lookups!$I$33:$L$33,Lookups!$I$34:$L$34), _xlfn.XLOOKUP('Project Description'!$C$96,Lookups!$I$33:$L$33,Lookups!$I$34:$L$34))</f>
        <v>---</v>
      </c>
      <c r="F16" s="783"/>
      <c r="G16" s="40">
        <f>'Travel Forecasts Input'!G16*Lookups!$H$34</f>
        <v>0</v>
      </c>
      <c r="H16" s="41" t="str">
        <f>IF(ISNUMBER(_xlfn.XLOOKUP('Project Description'!$C$96,Lookups!$I$33:$L$33,Lookups!$I$34:$L$34)),'Travel Forecasts Input'!H16*_xlfn.XLOOKUP('Project Description'!$C$96,Lookups!$I$33:$L$33,Lookups!$I$34:$L$34), _xlfn.XLOOKUP('Project Description'!$C$96,Lookups!$I$33:$L$33,Lookups!$I$34:$L$34))</f>
        <v>---</v>
      </c>
      <c r="I16" s="729"/>
      <c r="J16" s="730"/>
      <c r="K16" s="730"/>
      <c r="L16" s="730"/>
      <c r="M16" s="730"/>
      <c r="N16" s="731"/>
    </row>
    <row r="17" spans="1:14" ht="14.25" customHeight="1">
      <c r="A17" s="42" t="s">
        <v>104</v>
      </c>
      <c r="B17" s="701" t="str">
        <f>'Travel Forecasts Input'!B17</f>
        <v>Special market 3 (specify)</v>
      </c>
      <c r="C17" s="606" t="s">
        <v>92</v>
      </c>
      <c r="D17" s="43">
        <f>'Travel Forecasts Input'!D17*Lookups!$H$34</f>
        <v>0</v>
      </c>
      <c r="E17" s="44" t="str">
        <f>IF(ISNUMBER(_xlfn.XLOOKUP('Project Description'!$C$96,Lookups!$I$33:$L$33,Lookups!$I$34:$L$34)),'Travel Forecasts Input'!E17*_xlfn.XLOOKUP('Project Description'!$C$96,Lookups!$I$33:$L$33,Lookups!$I$34:$L$34), _xlfn.XLOOKUP('Project Description'!$C$96,Lookups!$I$33:$L$33,Lookups!$I$34:$L$34))</f>
        <v>---</v>
      </c>
      <c r="F17" s="783"/>
      <c r="G17" s="43">
        <f>'Travel Forecasts Input'!G17*Lookups!$H$34</f>
        <v>0</v>
      </c>
      <c r="H17" s="44" t="str">
        <f>IF(ISNUMBER(_xlfn.XLOOKUP('Project Description'!$C$96,Lookups!$I$33:$L$33,Lookups!$I$34:$L$34)),'Travel Forecasts Input'!H17*_xlfn.XLOOKUP('Project Description'!$C$96,Lookups!$I$33:$L$33,Lookups!$I$34:$L$34), _xlfn.XLOOKUP('Project Description'!$C$96,Lookups!$I$33:$L$33,Lookups!$I$34:$L$34))</f>
        <v>---</v>
      </c>
      <c r="I17" s="729" t="str">
        <f>IF(ISBLANK('Travel Forecasts Input'!I17)=TRUE, "", 'Travel Forecasts Input'!I17)</f>
        <v/>
      </c>
      <c r="J17" s="730"/>
      <c r="K17" s="730"/>
      <c r="L17" s="730"/>
      <c r="M17" s="730"/>
      <c r="N17" s="731"/>
    </row>
    <row r="18" spans="1:14" ht="14.25" customHeight="1">
      <c r="A18" s="39" t="s">
        <v>106</v>
      </c>
      <c r="B18" s="701"/>
      <c r="C18" s="605" t="s">
        <v>94</v>
      </c>
      <c r="D18" s="40">
        <f>'Travel Forecasts Input'!D18*Lookups!$H$34</f>
        <v>0</v>
      </c>
      <c r="E18" s="41" t="str">
        <f>IF(ISNUMBER(_xlfn.XLOOKUP('Project Description'!$C$96,Lookups!$I$33:$L$33,Lookups!$I$34:$L$34)),'Travel Forecasts Input'!E18*_xlfn.XLOOKUP('Project Description'!$C$96,Lookups!$I$33:$L$33,Lookups!$I$34:$L$34), _xlfn.XLOOKUP('Project Description'!$C$96,Lookups!$I$33:$L$33,Lookups!$I$34:$L$34))</f>
        <v>---</v>
      </c>
      <c r="F18" s="783"/>
      <c r="G18" s="40">
        <f>'Travel Forecasts Input'!G18*Lookups!$H$34</f>
        <v>0</v>
      </c>
      <c r="H18" s="41" t="str">
        <f>IF(ISNUMBER(_xlfn.XLOOKUP('Project Description'!$C$96,Lookups!$I$33:$L$33,Lookups!$I$34:$L$34)),'Travel Forecasts Input'!H18*_xlfn.XLOOKUP('Project Description'!$C$96,Lookups!$I$33:$L$33,Lookups!$I$34:$L$34), _xlfn.XLOOKUP('Project Description'!$C$96,Lookups!$I$33:$L$33,Lookups!$I$34:$L$34))</f>
        <v>---</v>
      </c>
      <c r="I18" s="729"/>
      <c r="J18" s="730"/>
      <c r="K18" s="730"/>
      <c r="L18" s="730"/>
      <c r="M18" s="730"/>
      <c r="N18" s="731"/>
    </row>
    <row r="19" spans="1:14" ht="14.25" customHeight="1">
      <c r="A19" s="42" t="s">
        <v>107</v>
      </c>
      <c r="B19" s="701" t="str">
        <f>'Travel Forecasts Input'!B19</f>
        <v>Special market 4 (specify)</v>
      </c>
      <c r="C19" s="606" t="s">
        <v>92</v>
      </c>
      <c r="D19" s="43">
        <f>'Travel Forecasts Input'!D19*Lookups!$H$34</f>
        <v>0</v>
      </c>
      <c r="E19" s="44" t="str">
        <f>IF(ISNUMBER(_xlfn.XLOOKUP('Project Description'!$C$96,Lookups!$I$33:$L$33,Lookups!$I$34:$L$34)),'Travel Forecasts Input'!E19*_xlfn.XLOOKUP('Project Description'!$C$96,Lookups!$I$33:$L$33,Lookups!$I$34:$L$34), _xlfn.XLOOKUP('Project Description'!$C$96,Lookups!$I$33:$L$33,Lookups!$I$34:$L$34))</f>
        <v>---</v>
      </c>
      <c r="F19" s="783"/>
      <c r="G19" s="43">
        <f>'Travel Forecasts Input'!G19*Lookups!$H$34</f>
        <v>0</v>
      </c>
      <c r="H19" s="44" t="str">
        <f>IF(ISNUMBER(_xlfn.XLOOKUP('Project Description'!$C$96,Lookups!$I$33:$L$33,Lookups!$I$34:$L$34)),'Travel Forecasts Input'!H19*_xlfn.XLOOKUP('Project Description'!$C$96,Lookups!$I$33:$L$33,Lookups!$I$34:$L$34), _xlfn.XLOOKUP('Project Description'!$C$96,Lookups!$I$33:$L$33,Lookups!$I$34:$L$34))</f>
        <v>---</v>
      </c>
      <c r="I19" s="729" t="str">
        <f>IF(ISBLANK('Travel Forecasts Input'!I19)=TRUE, "", 'Travel Forecasts Input'!I19)</f>
        <v/>
      </c>
      <c r="J19" s="730"/>
      <c r="K19" s="730"/>
      <c r="L19" s="730"/>
      <c r="M19" s="730"/>
      <c r="N19" s="731"/>
    </row>
    <row r="20" spans="1:14" ht="14.25" customHeight="1" thickBot="1">
      <c r="A20" s="45" t="s">
        <v>109</v>
      </c>
      <c r="B20" s="701"/>
      <c r="C20" s="607" t="s">
        <v>94</v>
      </c>
      <c r="D20" s="46">
        <f>'Travel Forecasts Input'!D20*Lookups!$H$34</f>
        <v>0</v>
      </c>
      <c r="E20" s="47" t="str">
        <f>IF(ISNUMBER(_xlfn.XLOOKUP('Project Description'!$C$96,Lookups!$I$33:$L$33,Lookups!$I$34:$L$34)),'Travel Forecasts Input'!E20*_xlfn.XLOOKUP('Project Description'!$C$96,Lookups!$I$33:$L$33,Lookups!$I$34:$L$34), _xlfn.XLOOKUP('Project Description'!$C$96,Lookups!$I$33:$L$33,Lookups!$I$34:$L$34))</f>
        <v>---</v>
      </c>
      <c r="F20" s="784"/>
      <c r="G20" s="46">
        <f>'Travel Forecasts Input'!G20*Lookups!$H$34</f>
        <v>0</v>
      </c>
      <c r="H20" s="47" t="str">
        <f>IF(ISNUMBER(_xlfn.XLOOKUP('Project Description'!$C$96,Lookups!$I$33:$L$33,Lookups!$I$34:$L$34)),'Travel Forecasts Input'!H20*_xlfn.XLOOKUP('Project Description'!$C$96,Lookups!$I$33:$L$33,Lookups!$I$34:$L$34), _xlfn.XLOOKUP('Project Description'!$C$96,Lookups!$I$33:$L$33,Lookups!$I$34:$L$34))</f>
        <v>---</v>
      </c>
      <c r="I20" s="729"/>
      <c r="J20" s="730"/>
      <c r="K20" s="730"/>
      <c r="L20" s="730"/>
      <c r="M20" s="730"/>
      <c r="N20" s="731"/>
    </row>
    <row r="21" spans="1:14" ht="14.25" customHeight="1">
      <c r="A21" s="36" t="s">
        <v>110</v>
      </c>
      <c r="B21" s="740" t="s">
        <v>111</v>
      </c>
      <c r="C21" s="604" t="s">
        <v>92</v>
      </c>
      <c r="D21" s="469" t="s">
        <v>112</v>
      </c>
      <c r="E21" s="470" t="s">
        <v>112</v>
      </c>
      <c r="F21" s="742" t="s">
        <v>112</v>
      </c>
      <c r="G21" s="562">
        <f>G9+G11+G13+G15+G17+G19</f>
        <v>0</v>
      </c>
      <c r="H21" s="561" t="str">
        <f>IF(NOT(ISNUMBER(H9)),H9,H9+H11+H13+H15+H17+H19)</f>
        <v>---</v>
      </c>
      <c r="I21" s="744" t="s">
        <v>112</v>
      </c>
      <c r="J21" s="745"/>
      <c r="K21" s="745"/>
      <c r="L21" s="745"/>
      <c r="M21" s="745"/>
      <c r="N21" s="746"/>
    </row>
    <row r="22" spans="1:14" ht="14.25" customHeight="1" thickBot="1">
      <c r="A22" s="45" t="s">
        <v>113</v>
      </c>
      <c r="B22" s="741"/>
      <c r="C22" s="607" t="s">
        <v>94</v>
      </c>
      <c r="D22" s="180" t="s">
        <v>112</v>
      </c>
      <c r="E22" s="181" t="s">
        <v>112</v>
      </c>
      <c r="F22" s="743"/>
      <c r="G22" s="46">
        <f>G10+G12+G14+G16+G18+G20</f>
        <v>0</v>
      </c>
      <c r="H22" s="47" t="str">
        <f>IF(NOT(ISNUMBER(H9)),H9,H10+H12+H14+H16+H18+H20)</f>
        <v>---</v>
      </c>
      <c r="I22" s="747" t="s">
        <v>112</v>
      </c>
      <c r="J22" s="748"/>
      <c r="K22" s="748"/>
      <c r="L22" s="748"/>
      <c r="M22" s="748"/>
      <c r="N22" s="749"/>
    </row>
    <row r="23" spans="1:14" s="483" customFormat="1" ht="28.5" customHeight="1" thickBot="1">
      <c r="A23" s="256" t="s">
        <v>114</v>
      </c>
      <c r="B23" s="787" t="s">
        <v>115</v>
      </c>
      <c r="C23" s="788"/>
      <c r="D23" s="248" t="s">
        <v>112</v>
      </c>
      <c r="E23" s="249" t="s">
        <v>112</v>
      </c>
      <c r="F23" s="250" t="s">
        <v>112</v>
      </c>
      <c r="G23" s="254">
        <f>G21+G22</f>
        <v>0</v>
      </c>
      <c r="H23" s="255" t="str">
        <f>IF(NOT(ISNUMBER(H9)),H9,H21+H22)</f>
        <v>---</v>
      </c>
      <c r="I23" s="752" t="s">
        <v>112</v>
      </c>
      <c r="J23" s="753"/>
      <c r="K23" s="753"/>
      <c r="L23" s="753"/>
      <c r="M23" s="753"/>
      <c r="N23" s="754"/>
    </row>
    <row r="24" spans="1:14" s="483" customFormat="1" ht="29.25" customHeight="1" thickBot="1">
      <c r="A24" s="256" t="s">
        <v>116</v>
      </c>
      <c r="B24" s="787" t="s">
        <v>117</v>
      </c>
      <c r="C24" s="788"/>
      <c r="D24" s="472">
        <f>D9+D10+D11+D12</f>
        <v>0</v>
      </c>
      <c r="E24" s="473" t="str">
        <f>IF(NOT(ISNUMBER(E9)),"---",E9+E10+E11+E12)</f>
        <v>---</v>
      </c>
      <c r="F24" s="471"/>
      <c r="G24" s="251"/>
      <c r="H24" s="252"/>
      <c r="I24" s="752"/>
      <c r="J24" s="753"/>
      <c r="K24" s="753"/>
      <c r="L24" s="753"/>
      <c r="M24" s="753"/>
      <c r="N24" s="754"/>
    </row>
    <row r="25" spans="1:14" s="483" customFormat="1" ht="29.25" customHeight="1" thickBot="1">
      <c r="A25" s="305">
        <v>9</v>
      </c>
      <c r="B25" s="759" t="s">
        <v>118</v>
      </c>
      <c r="C25" s="760"/>
      <c r="D25" s="51">
        <f>'Travel Forecasts Input'!D25*Lookups!$H$34</f>
        <v>0</v>
      </c>
      <c r="E25" s="613" t="str">
        <f>IF(ISNUMBER(_xlfn.XLOOKUP('Project Description'!$C$96,Lookups!$I$33:$L$33,Lookups!$I$34:$L$34)),'Travel Forecasts Input'!E25*_xlfn.XLOOKUP('Project Description'!$C$96,Lookups!$I$33:$L$33,Lookups!$I$34:$L$34), _xlfn.XLOOKUP('Project Description'!$C$96,Lookups!$I$33:$L$33,Lookups!$I$34:$L$34))</f>
        <v>---</v>
      </c>
      <c r="F25" s="301"/>
      <c r="G25" s="302"/>
      <c r="H25" s="302"/>
      <c r="I25" s="303"/>
      <c r="J25" s="304"/>
      <c r="K25" s="304"/>
      <c r="L25" s="304"/>
      <c r="M25" s="304"/>
      <c r="N25" s="304"/>
    </row>
    <row r="26" spans="1:14" ht="13" thickBot="1"/>
    <row r="27" spans="1:14" ht="16" thickBot="1">
      <c r="A27" s="721" t="s">
        <v>119</v>
      </c>
      <c r="B27" s="722"/>
      <c r="C27" s="722"/>
      <c r="D27" s="722"/>
      <c r="E27" s="722"/>
      <c r="F27" s="722"/>
      <c r="G27" s="722"/>
      <c r="H27" s="722"/>
      <c r="I27" s="722"/>
      <c r="J27" s="722"/>
      <c r="K27" s="722"/>
      <c r="L27" s="722"/>
      <c r="M27" s="722"/>
      <c r="N27" s="723"/>
    </row>
    <row r="28" spans="1:14" ht="41.25" customHeight="1">
      <c r="A28" s="702" t="s">
        <v>83</v>
      </c>
      <c r="B28" s="761" t="s">
        <v>120</v>
      </c>
      <c r="C28" s="762"/>
      <c r="D28" s="692" t="s">
        <v>121</v>
      </c>
      <c r="E28" s="767"/>
      <c r="F28" s="767"/>
      <c r="G28" s="693"/>
      <c r="H28" s="702" t="s">
        <v>87</v>
      </c>
      <c r="I28" s="692" t="s">
        <v>122</v>
      </c>
      <c r="J28" s="767"/>
      <c r="K28" s="767"/>
      <c r="L28" s="693"/>
      <c r="M28" s="692" t="s">
        <v>123</v>
      </c>
      <c r="N28" s="693"/>
    </row>
    <row r="29" spans="1:14" s="482" customFormat="1" ht="12.5">
      <c r="A29" s="703"/>
      <c r="B29" s="763"/>
      <c r="C29" s="764"/>
      <c r="D29" s="770" t="str">
        <f>D8</f>
        <v>Current Year ()</v>
      </c>
      <c r="E29" s="771"/>
      <c r="F29" s="770" t="str">
        <f>E8</f>
        <v>Horizon (None)</v>
      </c>
      <c r="G29" s="771"/>
      <c r="H29" s="703"/>
      <c r="I29" s="780" t="str">
        <f>D8</f>
        <v>Current Year ()</v>
      </c>
      <c r="J29" s="781"/>
      <c r="K29" s="780" t="str">
        <f>E8</f>
        <v>Horizon (None)</v>
      </c>
      <c r="L29" s="781"/>
      <c r="M29" s="755" t="str">
        <f>D8</f>
        <v>Current Year ()</v>
      </c>
      <c r="N29" s="757" t="str">
        <f>E8</f>
        <v>Horizon (None)</v>
      </c>
    </row>
    <row r="30" spans="1:14" s="482" customFormat="1" ht="13" thickBot="1">
      <c r="A30" s="703"/>
      <c r="B30" s="765"/>
      <c r="C30" s="766"/>
      <c r="D30" s="48" t="s">
        <v>124</v>
      </c>
      <c r="E30" s="49" t="s">
        <v>125</v>
      </c>
      <c r="F30" s="48" t="s">
        <v>124</v>
      </c>
      <c r="G30" s="49" t="s">
        <v>125</v>
      </c>
      <c r="H30" s="708"/>
      <c r="I30" s="601" t="s">
        <v>124</v>
      </c>
      <c r="J30" s="602" t="s">
        <v>125</v>
      </c>
      <c r="K30" s="601" t="s">
        <v>124</v>
      </c>
      <c r="L30" s="602" t="s">
        <v>125</v>
      </c>
      <c r="M30" s="756"/>
      <c r="N30" s="758"/>
    </row>
    <row r="31" spans="1:14" s="484" customFormat="1" ht="13.5" thickBot="1">
      <c r="A31" s="50">
        <v>10</v>
      </c>
      <c r="B31" s="773" t="s">
        <v>126</v>
      </c>
      <c r="C31" s="774"/>
      <c r="D31" s="51">
        <f>'Travel Forecasts Input'!D31*Lookups!$H$34</f>
        <v>0</v>
      </c>
      <c r="E31" s="51">
        <f>'Travel Forecasts Input'!E31*Lookups!$H$34</f>
        <v>0</v>
      </c>
      <c r="F31" s="613" t="str">
        <f>IF(ISNUMBER(_xlfn.XLOOKUP('Project Description'!$C$96,Lookups!$I$33:$L$33,Lookups!$I$34:$L$34)),'Travel Forecasts Input'!F31*_xlfn.XLOOKUP('Project Description'!$C$96,Lookups!$I$33:$L$33,Lookups!$I$34:$L$34), _xlfn.XLOOKUP('Project Description'!$C$96,Lookups!$I$33:$L$33,Lookups!$I$34:$L$34))</f>
        <v>---</v>
      </c>
      <c r="G31" s="613" t="str">
        <f>IF(ISNUMBER(_xlfn.XLOOKUP('Project Description'!$C$96,Lookups!$I$33:$L$33,Lookups!$I$34:$L$34)),'Travel Forecasts Input'!G31*_xlfn.XLOOKUP('Project Description'!$C$96,Lookups!$I$33:$L$33,Lookups!$I$34:$L$34), _xlfn.XLOOKUP('Project Description'!$C$96,Lookups!$I$33:$L$33,Lookups!$I$34:$L$34))</f>
        <v>---</v>
      </c>
      <c r="H31" s="431"/>
      <c r="I31" s="51">
        <f>D31*'Travel Forecasts Input'!$H$31</f>
        <v>0</v>
      </c>
      <c r="J31" s="52">
        <f>E31*'Travel Forecasts Input'!$H$31</f>
        <v>0</v>
      </c>
      <c r="K31" s="51" t="str">
        <f>IF(ISNUMBER(_xlfn.XLOOKUP('Project Description'!$C$96,Lookups!$I$33:$L$33,Lookups!$I$34:$L$34)),'Travel Forecasts Input'!K31*_xlfn.XLOOKUP('Project Description'!$C$96,Lookups!$I$33:$L$33,Lookups!$I$34:$L$34), _xlfn.XLOOKUP('Project Description'!$C$96,Lookups!$I$33:$L$33,Lookups!$I$34:$L$34))</f>
        <v>---</v>
      </c>
      <c r="L31" s="52" t="str">
        <f>IF(ISNUMBER(_xlfn.XLOOKUP('Project Description'!$C$96,Lookups!$I$33:$L$33,Lookups!$I$34:$L$34)),'Travel Forecasts Input'!L31*_xlfn.XLOOKUP('Project Description'!$C$96,Lookups!$I$33:$L$33,Lookups!$I$34:$L$34), _xlfn.XLOOKUP('Project Description'!$C$96,Lookups!$I$33:$L$33,Lookups!$I$34:$L$34))</f>
        <v>---</v>
      </c>
      <c r="M31" s="51">
        <f>J31-I31</f>
        <v>0</v>
      </c>
      <c r="N31" s="52" t="str">
        <f>IF(NOT(ISNUMBER($H$9)),$H$9,L31-K31)</f>
        <v>---</v>
      </c>
    </row>
    <row r="32" spans="1:14" s="484" customFormat="1" ht="14.25" customHeight="1">
      <c r="A32" s="53">
        <v>11</v>
      </c>
      <c r="B32" s="775" t="s">
        <v>127</v>
      </c>
      <c r="C32" s="776"/>
      <c r="D32" s="182" t="s">
        <v>112</v>
      </c>
      <c r="E32" s="183" t="s">
        <v>112</v>
      </c>
      <c r="F32" s="182" t="s">
        <v>112</v>
      </c>
      <c r="G32" s="183" t="s">
        <v>112</v>
      </c>
      <c r="H32" s="184" t="s">
        <v>112</v>
      </c>
      <c r="I32" s="618">
        <f>'Travel Forecasts Input'!I32</f>
        <v>0</v>
      </c>
      <c r="J32" s="599">
        <f>'Travel Forecasts Input'!J32</f>
        <v>0</v>
      </c>
      <c r="K32" s="618">
        <f>'Travel Forecasts Input'!K32</f>
        <v>0</v>
      </c>
      <c r="L32" s="599">
        <f>'Travel Forecasts Input'!L32</f>
        <v>0</v>
      </c>
      <c r="M32" s="54">
        <f>J32-I32</f>
        <v>0</v>
      </c>
      <c r="N32" s="55" t="str">
        <f>IF(NOT(ISNUMBER($H$9)),$H$9,L32-K32)</f>
        <v>---</v>
      </c>
    </row>
    <row r="33" spans="1:14" s="484" customFormat="1" ht="14.25" customHeight="1">
      <c r="A33" s="56">
        <v>12</v>
      </c>
      <c r="B33" s="768" t="s">
        <v>128</v>
      </c>
      <c r="C33" s="769"/>
      <c r="D33" s="185" t="s">
        <v>112</v>
      </c>
      <c r="E33" s="186" t="s">
        <v>112</v>
      </c>
      <c r="F33" s="185" t="s">
        <v>112</v>
      </c>
      <c r="G33" s="186" t="s">
        <v>112</v>
      </c>
      <c r="H33" s="187" t="s">
        <v>112</v>
      </c>
      <c r="I33" s="614">
        <f>'Travel Forecasts Input'!I33</f>
        <v>0</v>
      </c>
      <c r="J33" s="615">
        <f>'Travel Forecasts Input'!J33</f>
        <v>0</v>
      </c>
      <c r="K33" s="614">
        <f>'Travel Forecasts Input'!K33</f>
        <v>0</v>
      </c>
      <c r="L33" s="615">
        <f>'Travel Forecasts Input'!L33</f>
        <v>0</v>
      </c>
      <c r="M33" s="57">
        <f>J33-I33</f>
        <v>0</v>
      </c>
      <c r="N33" s="58" t="str">
        <f>IF(NOT(ISNUMBER(H9)),H9,L33-K33)</f>
        <v>---</v>
      </c>
    </row>
    <row r="34" spans="1:14" s="484" customFormat="1" ht="14.25" customHeight="1">
      <c r="A34" s="56">
        <v>13</v>
      </c>
      <c r="B34" s="768" t="s">
        <v>129</v>
      </c>
      <c r="C34" s="769"/>
      <c r="D34" s="185" t="s">
        <v>112</v>
      </c>
      <c r="E34" s="186" t="s">
        <v>112</v>
      </c>
      <c r="F34" s="185" t="s">
        <v>112</v>
      </c>
      <c r="G34" s="186" t="s">
        <v>112</v>
      </c>
      <c r="H34" s="187" t="s">
        <v>112</v>
      </c>
      <c r="I34" s="614">
        <f>'Travel Forecasts Input'!I34</f>
        <v>0</v>
      </c>
      <c r="J34" s="615">
        <f>'Travel Forecasts Input'!J34</f>
        <v>0</v>
      </c>
      <c r="K34" s="614">
        <f>'Travel Forecasts Input'!K34</f>
        <v>0</v>
      </c>
      <c r="L34" s="615">
        <f>'Travel Forecasts Input'!L34</f>
        <v>0</v>
      </c>
      <c r="M34" s="57">
        <f t="shared" ref="M34:M40" si="0">J34-I34</f>
        <v>0</v>
      </c>
      <c r="N34" s="58" t="str">
        <f>IF(NOT(ISNUMBER(H9)),H9,L34-K34)</f>
        <v>---</v>
      </c>
    </row>
    <row r="35" spans="1:14" s="484" customFormat="1" ht="14.25" customHeight="1">
      <c r="A35" s="56">
        <v>14</v>
      </c>
      <c r="B35" s="768" t="s">
        <v>130</v>
      </c>
      <c r="C35" s="769"/>
      <c r="D35" s="185" t="s">
        <v>112</v>
      </c>
      <c r="E35" s="186" t="s">
        <v>112</v>
      </c>
      <c r="F35" s="185" t="s">
        <v>112</v>
      </c>
      <c r="G35" s="186" t="s">
        <v>112</v>
      </c>
      <c r="H35" s="187" t="s">
        <v>112</v>
      </c>
      <c r="I35" s="614">
        <f>'Travel Forecasts Input'!I35</f>
        <v>0</v>
      </c>
      <c r="J35" s="615">
        <f>'Travel Forecasts Input'!J35</f>
        <v>0</v>
      </c>
      <c r="K35" s="614">
        <f>'Travel Forecasts Input'!K35</f>
        <v>0</v>
      </c>
      <c r="L35" s="615">
        <f>'Travel Forecasts Input'!L35</f>
        <v>0</v>
      </c>
      <c r="M35" s="57">
        <f t="shared" si="0"/>
        <v>0</v>
      </c>
      <c r="N35" s="58" t="str">
        <f>IF(NOT(ISNUMBER(H9)),H9,L35-K35)</f>
        <v>---</v>
      </c>
    </row>
    <row r="36" spans="1:14" s="484" customFormat="1" ht="14.25" customHeight="1">
      <c r="A36" s="56">
        <v>15</v>
      </c>
      <c r="B36" s="768" t="s">
        <v>131</v>
      </c>
      <c r="C36" s="769"/>
      <c r="D36" s="185" t="s">
        <v>112</v>
      </c>
      <c r="E36" s="186" t="s">
        <v>112</v>
      </c>
      <c r="F36" s="185" t="s">
        <v>112</v>
      </c>
      <c r="G36" s="186" t="s">
        <v>112</v>
      </c>
      <c r="H36" s="187" t="s">
        <v>112</v>
      </c>
      <c r="I36" s="614">
        <f>'Travel Forecasts Input'!I36</f>
        <v>0</v>
      </c>
      <c r="J36" s="615">
        <f>'Travel Forecasts Input'!J36</f>
        <v>0</v>
      </c>
      <c r="K36" s="614">
        <f>'Travel Forecasts Input'!K36</f>
        <v>0</v>
      </c>
      <c r="L36" s="615">
        <f>'Travel Forecasts Input'!L36</f>
        <v>0</v>
      </c>
      <c r="M36" s="57">
        <f t="shared" si="0"/>
        <v>0</v>
      </c>
      <c r="N36" s="58" t="str">
        <f>IF(NOT(ISNUMBER(H9)),H9,L36-K36)</f>
        <v>---</v>
      </c>
    </row>
    <row r="37" spans="1:14" s="484" customFormat="1" ht="14.25" customHeight="1">
      <c r="A37" s="56">
        <v>16</v>
      </c>
      <c r="B37" s="768" t="s">
        <v>132</v>
      </c>
      <c r="C37" s="769"/>
      <c r="D37" s="185" t="s">
        <v>112</v>
      </c>
      <c r="E37" s="186" t="s">
        <v>112</v>
      </c>
      <c r="F37" s="185" t="s">
        <v>112</v>
      </c>
      <c r="G37" s="186" t="s">
        <v>112</v>
      </c>
      <c r="H37" s="187" t="s">
        <v>112</v>
      </c>
      <c r="I37" s="614">
        <f>'Travel Forecasts Input'!I37</f>
        <v>0</v>
      </c>
      <c r="J37" s="615">
        <f>'Travel Forecasts Input'!J37</f>
        <v>0</v>
      </c>
      <c r="K37" s="614">
        <f>'Travel Forecasts Input'!K37</f>
        <v>0</v>
      </c>
      <c r="L37" s="615">
        <f>'Travel Forecasts Input'!L37</f>
        <v>0</v>
      </c>
      <c r="M37" s="57">
        <f t="shared" si="0"/>
        <v>0</v>
      </c>
      <c r="N37" s="58" t="str">
        <f>IF(NOT(ISNUMBER(H9)),H9,L37-K37)</f>
        <v>---</v>
      </c>
    </row>
    <row r="38" spans="1:14" s="484" customFormat="1" ht="14.25" customHeight="1">
      <c r="A38" s="56">
        <v>17</v>
      </c>
      <c r="B38" s="768" t="s">
        <v>133</v>
      </c>
      <c r="C38" s="769"/>
      <c r="D38" s="185" t="s">
        <v>112</v>
      </c>
      <c r="E38" s="186" t="s">
        <v>112</v>
      </c>
      <c r="F38" s="185" t="s">
        <v>112</v>
      </c>
      <c r="G38" s="186" t="s">
        <v>112</v>
      </c>
      <c r="H38" s="187" t="s">
        <v>112</v>
      </c>
      <c r="I38" s="614">
        <f>'Travel Forecasts Input'!I38</f>
        <v>0</v>
      </c>
      <c r="J38" s="615">
        <f>'Travel Forecasts Input'!J38</f>
        <v>0</v>
      </c>
      <c r="K38" s="614">
        <f>'Travel Forecasts Input'!K38</f>
        <v>0</v>
      </c>
      <c r="L38" s="615">
        <f>'Travel Forecasts Input'!L38</f>
        <v>0</v>
      </c>
      <c r="M38" s="57">
        <f t="shared" si="0"/>
        <v>0</v>
      </c>
      <c r="N38" s="58" t="str">
        <f>IF(NOT(ISNUMBER(H9)),H9,L38-K38)</f>
        <v>---</v>
      </c>
    </row>
    <row r="39" spans="1:14" s="484" customFormat="1" ht="14.25" customHeight="1">
      <c r="A39" s="56">
        <v>18</v>
      </c>
      <c r="B39" s="768" t="s">
        <v>134</v>
      </c>
      <c r="C39" s="769"/>
      <c r="D39" s="185" t="s">
        <v>112</v>
      </c>
      <c r="E39" s="186" t="s">
        <v>112</v>
      </c>
      <c r="F39" s="185" t="s">
        <v>112</v>
      </c>
      <c r="G39" s="186" t="s">
        <v>112</v>
      </c>
      <c r="H39" s="187" t="s">
        <v>112</v>
      </c>
      <c r="I39" s="614">
        <f>'Travel Forecasts Input'!I39</f>
        <v>0</v>
      </c>
      <c r="J39" s="615">
        <f>'Travel Forecasts Input'!J39</f>
        <v>0</v>
      </c>
      <c r="K39" s="614">
        <f>'Travel Forecasts Input'!K39</f>
        <v>0</v>
      </c>
      <c r="L39" s="615">
        <f>'Travel Forecasts Input'!L39</f>
        <v>0</v>
      </c>
      <c r="M39" s="57">
        <f t="shared" si="0"/>
        <v>0</v>
      </c>
      <c r="N39" s="58" t="str">
        <f>IF(NOT(ISNUMBER(H9)),H9,L39-K39)</f>
        <v>---</v>
      </c>
    </row>
    <row r="40" spans="1:14" s="484" customFormat="1" ht="14.25" customHeight="1" thickBot="1">
      <c r="A40" s="59">
        <v>19</v>
      </c>
      <c r="B40" s="777" t="s">
        <v>135</v>
      </c>
      <c r="C40" s="778"/>
      <c r="D40" s="188" t="s">
        <v>112</v>
      </c>
      <c r="E40" s="189" t="s">
        <v>112</v>
      </c>
      <c r="F40" s="188" t="s">
        <v>112</v>
      </c>
      <c r="G40" s="189" t="s">
        <v>112</v>
      </c>
      <c r="H40" s="190" t="s">
        <v>112</v>
      </c>
      <c r="I40" s="616">
        <f>'Travel Forecasts Input'!I40</f>
        <v>0</v>
      </c>
      <c r="J40" s="617">
        <f>'Travel Forecasts Input'!J40</f>
        <v>0</v>
      </c>
      <c r="K40" s="616">
        <f>'Travel Forecasts Input'!K40</f>
        <v>0</v>
      </c>
      <c r="L40" s="617">
        <f>'Travel Forecasts Input'!L40</f>
        <v>0</v>
      </c>
      <c r="M40" s="60">
        <f t="shared" si="0"/>
        <v>0</v>
      </c>
      <c r="N40" s="61" t="str">
        <f>IF(NOT(ISNUMBER(H9)),H9,L40-K40)</f>
        <v>---</v>
      </c>
    </row>
    <row r="41" spans="1:14" s="485" customFormat="1" ht="15" customHeight="1">
      <c r="B41" s="486"/>
    </row>
    <row r="42" spans="1:14" ht="27.75" customHeight="1">
      <c r="B42" s="782" t="s">
        <v>136</v>
      </c>
      <c r="C42" s="782"/>
      <c r="D42" s="782"/>
      <c r="E42" s="782"/>
      <c r="F42" s="782"/>
      <c r="G42" s="782"/>
      <c r="H42" s="782"/>
      <c r="I42" s="782"/>
      <c r="J42" s="782"/>
      <c r="K42" s="782"/>
      <c r="L42" s="782"/>
      <c r="M42" s="782"/>
      <c r="N42" s="782"/>
    </row>
  </sheetData>
  <sheetProtection algorithmName="SHA-512" hashValue="yKwiX+P1IFXD8bqco0Mwq0HhpvvoQl0BW9c0L4ZVzR1bQ5LQ1eSHoC+ql992oxIpva/DCH2USSkRRDr/EUuI+Q==" saltValue="NjiK3f3segY1bOi5A/SOFA==" spinCount="100000" sheet="1" formatCells="0" formatColumns="0" formatRows="0" insertColumns="0" insertRows="0" insertHyperlinks="0" selectLockedCells="1"/>
  <mergeCells count="63">
    <mergeCell ref="A4:N4"/>
    <mergeCell ref="B7:B8"/>
    <mergeCell ref="C7:C8"/>
    <mergeCell ref="A27:N27"/>
    <mergeCell ref="A2:C2"/>
    <mergeCell ref="D2:N2"/>
    <mergeCell ref="B21:B22"/>
    <mergeCell ref="B25:C25"/>
    <mergeCell ref="F17:F18"/>
    <mergeCell ref="B23:C23"/>
    <mergeCell ref="B28:C30"/>
    <mergeCell ref="I7:N8"/>
    <mergeCell ref="I9:N10"/>
    <mergeCell ref="I11:N12"/>
    <mergeCell ref="I13:N14"/>
    <mergeCell ref="I15:N16"/>
    <mergeCell ref="I17:N18"/>
    <mergeCell ref="F21:F22"/>
    <mergeCell ref="F9:F10"/>
    <mergeCell ref="F11:F12"/>
    <mergeCell ref="K29:L29"/>
    <mergeCell ref="M29:M30"/>
    <mergeCell ref="N29:N30"/>
    <mergeCell ref="B15:B16"/>
    <mergeCell ref="B17:B18"/>
    <mergeCell ref="B19:B20"/>
    <mergeCell ref="A1:N1"/>
    <mergeCell ref="I19:N20"/>
    <mergeCell ref="I28:L28"/>
    <mergeCell ref="B9:B10"/>
    <mergeCell ref="F7:F8"/>
    <mergeCell ref="F13:F14"/>
    <mergeCell ref="F15:F16"/>
    <mergeCell ref="D7:E7"/>
    <mergeCell ref="G7:H7"/>
    <mergeCell ref="A6:N6"/>
    <mergeCell ref="A7:A8"/>
    <mergeCell ref="B24:C24"/>
    <mergeCell ref="I24:N24"/>
    <mergeCell ref="A28:A30"/>
    <mergeCell ref="B11:B12"/>
    <mergeCell ref="B13:B14"/>
    <mergeCell ref="B39:C39"/>
    <mergeCell ref="B31:C31"/>
    <mergeCell ref="B32:C32"/>
    <mergeCell ref="B33:C33"/>
    <mergeCell ref="B38:C38"/>
    <mergeCell ref="I29:J29"/>
    <mergeCell ref="B42:N42"/>
    <mergeCell ref="F19:F20"/>
    <mergeCell ref="I22:N22"/>
    <mergeCell ref="I21:N21"/>
    <mergeCell ref="M28:N28"/>
    <mergeCell ref="H28:H30"/>
    <mergeCell ref="D28:G28"/>
    <mergeCell ref="I23:N23"/>
    <mergeCell ref="B40:C40"/>
    <mergeCell ref="D29:E29"/>
    <mergeCell ref="B36:C36"/>
    <mergeCell ref="B37:C37"/>
    <mergeCell ref="F29:G29"/>
    <mergeCell ref="B34:C34"/>
    <mergeCell ref="B35:C35"/>
  </mergeCells>
  <conditionalFormatting sqref="A4">
    <cfRule type="expression" dxfId="26" priority="1">
      <formula>$A4&lt;&gt;""</formula>
    </cfRule>
  </conditionalFormatting>
  <pageMargins left="0.25" right="0.25" top="0.75" bottom="0.75" header="0.3" footer="0.3"/>
  <pageSetup scale="69" orientation="landscape" horizontalDpi="4294967293" verticalDpi="4294967293" r:id="rId1"/>
  <ignoredErrors>
    <ignoredError sqref="B13:B20 I13:N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W34"/>
  <sheetViews>
    <sheetView showGridLines="0" zoomScaleNormal="100" workbookViewId="0">
      <selection activeCell="C16" sqref="C16"/>
    </sheetView>
  </sheetViews>
  <sheetFormatPr defaultColWidth="9.33203125" defaultRowHeight="10"/>
  <cols>
    <col min="1" max="1" width="5.6640625" style="500" customWidth="1"/>
    <col min="2" max="2" width="91.33203125" style="496" customWidth="1"/>
    <col min="3" max="3" width="29.6640625" style="496" customWidth="1"/>
    <col min="4" max="4" width="26.6640625" style="500" customWidth="1"/>
    <col min="5" max="5" width="70" style="500" customWidth="1"/>
    <col min="6" max="16384" width="9.33203125" style="496"/>
  </cols>
  <sheetData>
    <row r="1" spans="1:7" s="479" customFormat="1" ht="20.25" customHeight="1" thickBot="1">
      <c r="A1" s="648" t="s">
        <v>176</v>
      </c>
      <c r="B1" s="649"/>
      <c r="C1" s="649"/>
      <c r="D1" s="649"/>
      <c r="E1" s="650"/>
      <c r="F1" s="478"/>
      <c r="G1" s="478"/>
    </row>
    <row r="2" spans="1:7" s="481" customFormat="1" ht="16" thickBot="1">
      <c r="A2" s="717" t="s">
        <v>0</v>
      </c>
      <c r="B2" s="719"/>
      <c r="C2" s="717" t="str">
        <f>+Finance!B2</f>
        <v/>
      </c>
      <c r="D2" s="718"/>
      <c r="E2" s="719"/>
    </row>
    <row r="3" spans="1:7" s="493" customFormat="1" ht="6" customHeight="1">
      <c r="A3" s="441"/>
      <c r="B3" s="362"/>
      <c r="C3" s="441"/>
      <c r="D3" s="441"/>
      <c r="E3" s="441"/>
      <c r="F3" s="492"/>
      <c r="G3" s="492"/>
    </row>
    <row r="4" spans="1:7" s="495" customFormat="1" ht="15" customHeight="1">
      <c r="A4" s="803" t="str">
        <f>IF('Project Description'!$C$92="Yes","*** Projects that qualify for warrants receive automatic Medium ratings.  Only enter current year annualized costs (for use in the Env. Ben. measure) in the Cost Effectiveness section. ***",IF('Project Description'!C96="(Select…)","*** To view Mobility Improvements, Cost Effectiveness and Congestion Relief results, specify the horizon year option in the Project Description Template ***",""))</f>
        <v/>
      </c>
      <c r="B4" s="803"/>
      <c r="C4" s="803"/>
      <c r="D4" s="803"/>
      <c r="E4" s="803"/>
      <c r="F4" s="494"/>
      <c r="G4" s="494"/>
    </row>
    <row r="5" spans="1:7" s="493" customFormat="1" ht="6" customHeight="1" thickBot="1">
      <c r="A5" s="441"/>
      <c r="B5" s="67"/>
      <c r="C5" s="441"/>
      <c r="D5" s="441"/>
      <c r="E5" s="441"/>
      <c r="F5" s="492"/>
      <c r="G5" s="492"/>
    </row>
    <row r="6" spans="1:7" s="493" customFormat="1" ht="16" thickBot="1">
      <c r="A6" s="794" t="s">
        <v>177</v>
      </c>
      <c r="B6" s="795"/>
      <c r="C6" s="795"/>
      <c r="D6" s="795"/>
      <c r="E6" s="796"/>
      <c r="F6" s="492"/>
      <c r="G6" s="492"/>
    </row>
    <row r="7" spans="1:7" s="493" customFormat="1" ht="13">
      <c r="A7" s="797" t="s">
        <v>83</v>
      </c>
      <c r="B7" s="799" t="s">
        <v>178</v>
      </c>
      <c r="C7" s="801" t="s">
        <v>179</v>
      </c>
      <c r="D7" s="802"/>
      <c r="E7" s="797" t="s">
        <v>180</v>
      </c>
      <c r="F7" s="492"/>
      <c r="G7" s="492"/>
    </row>
    <row r="8" spans="1:7" s="493" customFormat="1" ht="13.5" thickBot="1">
      <c r="A8" s="798"/>
      <c r="B8" s="800"/>
      <c r="C8" s="68" t="str">
        <f>'Travel Forecasts for Evaluation'!D8</f>
        <v>Current Year ()</v>
      </c>
      <c r="D8" s="69" t="str">
        <f>'Travel Forecasts for Evaluation'!E8</f>
        <v>Horizon (None)</v>
      </c>
      <c r="E8" s="798"/>
      <c r="F8" s="492"/>
      <c r="G8" s="492"/>
    </row>
    <row r="9" spans="1:7" s="493" customFormat="1" ht="27" customHeight="1">
      <c r="A9" s="178">
        <v>1</v>
      </c>
      <c r="B9" s="70" t="s">
        <v>181</v>
      </c>
      <c r="C9" s="363">
        <f>'Travel Forecasts for Evaluation'!G21+2*'Travel Forecasts for Evaluation'!G22</f>
        <v>0</v>
      </c>
      <c r="D9" s="364" t="str">
        <f>IF(NOT(ISNUMBER('Travel Forecasts for Evaluation'!H21)),'Travel Forecasts for Evaluation'!H21,'Travel Forecasts for Evaluation'!H21+2*'Travel Forecasts for Evaluation'!H22)</f>
        <v>---</v>
      </c>
      <c r="E9" s="71" t="s">
        <v>495</v>
      </c>
      <c r="F9" s="492"/>
      <c r="G9" s="492"/>
    </row>
    <row r="10" spans="1:7" s="493" customFormat="1" ht="42" customHeight="1" thickBot="1">
      <c r="A10" s="72">
        <v>2</v>
      </c>
      <c r="B10" s="73" t="s">
        <v>182</v>
      </c>
      <c r="C10" s="792">
        <f>IF(Lookups!$K$20="Yes","N/A",IF(OR(Lookups!$K$20="No",Lookups!$K$20="Unclear"),"---",IF(D9="-",D9,IF(D9="---",C9,(C9+D9)/2))))</f>
        <v>0</v>
      </c>
      <c r="D10" s="793"/>
      <c r="E10" s="73" t="s">
        <v>183</v>
      </c>
      <c r="F10" s="492"/>
      <c r="G10" s="492"/>
    </row>
    <row r="11" spans="1:7" s="493" customFormat="1" ht="13.5" thickBot="1">
      <c r="A11" s="365"/>
      <c r="B11" s="362"/>
      <c r="C11" s="806" t="str">
        <f>IF(Lookups!$K$20="Yes",warrantedMedium,IF(Lookups!$K$20="No",doesntMeetThresholds,IF(OR(Lookups!$K$20="Unknown",C10="-",C10=0),"",VLOOKUP(C10,Lookups!B23:C27,2))))</f>
        <v/>
      </c>
      <c r="D11" s="807"/>
      <c r="E11" s="362"/>
      <c r="F11" s="492"/>
      <c r="G11" s="492"/>
    </row>
    <row r="12" spans="1:7" s="493" customFormat="1" ht="13" thickBot="1">
      <c r="A12" s="366"/>
      <c r="B12" s="362"/>
      <c r="C12" s="74"/>
      <c r="D12" s="74"/>
      <c r="E12" s="367"/>
      <c r="F12" s="492"/>
      <c r="G12" s="492"/>
    </row>
    <row r="13" spans="1:7" s="493" customFormat="1" ht="16" thickBot="1">
      <c r="A13" s="794" t="s">
        <v>184</v>
      </c>
      <c r="B13" s="795"/>
      <c r="C13" s="795"/>
      <c r="D13" s="795"/>
      <c r="E13" s="796"/>
      <c r="F13" s="492"/>
      <c r="G13" s="492"/>
    </row>
    <row r="14" spans="1:7" s="493" customFormat="1" ht="13">
      <c r="A14" s="797" t="s">
        <v>83</v>
      </c>
      <c r="B14" s="799" t="s">
        <v>178</v>
      </c>
      <c r="C14" s="801" t="s">
        <v>179</v>
      </c>
      <c r="D14" s="802"/>
      <c r="E14" s="440" t="s">
        <v>180</v>
      </c>
      <c r="F14" s="492"/>
      <c r="G14" s="492"/>
    </row>
    <row r="15" spans="1:7" s="493" customFormat="1" ht="13.5" thickBot="1">
      <c r="A15" s="798"/>
      <c r="B15" s="800"/>
      <c r="C15" s="191" t="str">
        <f>C8</f>
        <v>Current Year ()</v>
      </c>
      <c r="D15" s="192" t="str">
        <f>D8</f>
        <v>Horizon (None)</v>
      </c>
      <c r="E15" s="77"/>
      <c r="F15" s="492"/>
      <c r="G15" s="492"/>
    </row>
    <row r="16" spans="1:7" s="493" customFormat="1" ht="13">
      <c r="A16" s="75">
        <v>3</v>
      </c>
      <c r="B16" s="257" t="s">
        <v>504</v>
      </c>
      <c r="C16" s="587"/>
      <c r="D16" s="588"/>
      <c r="E16" s="76" t="s">
        <v>185</v>
      </c>
      <c r="F16" s="492"/>
      <c r="G16" s="492"/>
    </row>
    <row r="17" spans="1:23" s="493" customFormat="1" ht="13">
      <c r="A17" s="78">
        <v>4</v>
      </c>
      <c r="B17" s="79" t="s">
        <v>505</v>
      </c>
      <c r="C17" s="589"/>
      <c r="D17" s="590"/>
      <c r="E17" s="80" t="s">
        <v>186</v>
      </c>
      <c r="F17" s="492"/>
      <c r="G17" s="492"/>
      <c r="H17" s="492"/>
      <c r="I17" s="492"/>
      <c r="J17" s="492"/>
      <c r="K17" s="492"/>
      <c r="L17" s="492"/>
      <c r="M17" s="492"/>
      <c r="N17" s="492"/>
      <c r="O17" s="492"/>
      <c r="P17" s="492"/>
      <c r="Q17" s="492"/>
      <c r="R17" s="492"/>
      <c r="S17" s="492"/>
      <c r="T17" s="492"/>
      <c r="U17" s="492"/>
      <c r="V17" s="492"/>
      <c r="W17" s="492"/>
    </row>
    <row r="18" spans="1:23" s="493" customFormat="1" ht="13">
      <c r="A18" s="78">
        <v>5</v>
      </c>
      <c r="B18" s="79" t="s">
        <v>187</v>
      </c>
      <c r="C18" s="368">
        <f>'Travel Forecasts for Evaluation'!G23</f>
        <v>0</v>
      </c>
      <c r="D18" s="369" t="str">
        <f>IF(NOT(ISNUMBER('Travel Forecasts for Evaluation'!H21)),'Travel Forecasts for Evaluation'!H21,'Travel Forecasts for Evaluation'!H23)</f>
        <v>---</v>
      </c>
      <c r="E18" s="80" t="s">
        <v>496</v>
      </c>
      <c r="F18" s="492"/>
      <c r="G18" s="492"/>
      <c r="H18" s="492"/>
      <c r="I18" s="492"/>
      <c r="J18" s="492"/>
      <c r="K18" s="492"/>
      <c r="L18" s="492"/>
      <c r="M18" s="492"/>
      <c r="N18" s="492"/>
      <c r="O18" s="492"/>
      <c r="P18" s="492"/>
      <c r="Q18" s="492"/>
      <c r="R18" s="492"/>
      <c r="S18" s="492"/>
      <c r="T18" s="492"/>
      <c r="U18" s="492"/>
      <c r="V18" s="492"/>
      <c r="W18" s="492"/>
    </row>
    <row r="19" spans="1:23" s="493" customFormat="1" ht="26">
      <c r="A19" s="78">
        <v>6</v>
      </c>
      <c r="B19" s="79" t="s">
        <v>506</v>
      </c>
      <c r="C19" s="370">
        <f>C16+C17</f>
        <v>0</v>
      </c>
      <c r="D19" s="371" t="str">
        <f>IF(NOT(ISNUMBER(D18)),D18,D16+D17)</f>
        <v>---</v>
      </c>
      <c r="E19" s="80" t="s">
        <v>188</v>
      </c>
      <c r="F19" s="492"/>
      <c r="G19" s="492"/>
      <c r="H19" s="492"/>
      <c r="I19" s="492"/>
      <c r="J19" s="492"/>
      <c r="K19" s="492"/>
      <c r="L19" s="492"/>
      <c r="M19" s="492"/>
      <c r="N19" s="492"/>
      <c r="O19" s="492"/>
      <c r="P19" s="492"/>
      <c r="Q19" s="492"/>
      <c r="R19" s="492"/>
      <c r="S19" s="492"/>
      <c r="T19" s="492"/>
      <c r="U19" s="492"/>
      <c r="V19" s="492"/>
      <c r="W19" s="492"/>
    </row>
    <row r="20" spans="1:23" s="493" customFormat="1" ht="13">
      <c r="A20" s="78">
        <v>7</v>
      </c>
      <c r="B20" s="79" t="s">
        <v>189</v>
      </c>
      <c r="C20" s="372">
        <f>IF(C18=0,0,C19/C18)</f>
        <v>0</v>
      </c>
      <c r="D20" s="373" t="str">
        <f>IF(NOT(ISNUMBER(D18)),D18,IF(D18=0,0,D19/D18))</f>
        <v>---</v>
      </c>
      <c r="E20" s="80" t="s">
        <v>190</v>
      </c>
      <c r="F20" s="492"/>
      <c r="G20" s="492"/>
      <c r="H20" s="492"/>
      <c r="I20" s="492"/>
      <c r="J20" s="492"/>
      <c r="K20" s="492"/>
      <c r="L20" s="492"/>
      <c r="M20" s="492"/>
      <c r="N20" s="492"/>
      <c r="O20" s="492"/>
      <c r="P20" s="492"/>
      <c r="Q20" s="492"/>
      <c r="R20" s="492"/>
      <c r="S20" s="492"/>
      <c r="T20" s="492"/>
      <c r="U20" s="492"/>
      <c r="V20" s="492"/>
      <c r="W20" s="492"/>
    </row>
    <row r="21" spans="1:23" s="493" customFormat="1" ht="42.75" customHeight="1" thickBot="1">
      <c r="A21" s="72">
        <v>8</v>
      </c>
      <c r="B21" s="81" t="s">
        <v>182</v>
      </c>
      <c r="C21" s="790">
        <f>IF(Lookups!$K$20="Yes","N/A",IF(OR(Lookups!$K$20="No",Lookups!$K$20="Unclear"),"---",IF(D20="-",D20,IF(D20="---",C20,(C20+D20)/2))))</f>
        <v>0</v>
      </c>
      <c r="D21" s="791"/>
      <c r="E21" s="81" t="s">
        <v>191</v>
      </c>
      <c r="F21" s="492"/>
      <c r="G21" s="492"/>
      <c r="H21" s="492"/>
      <c r="I21" s="492"/>
      <c r="J21" s="492"/>
      <c r="K21" s="492"/>
      <c r="L21" s="492"/>
      <c r="M21" s="492"/>
      <c r="N21" s="492"/>
      <c r="O21" s="492"/>
      <c r="P21" s="492"/>
      <c r="Q21" s="492"/>
      <c r="R21" s="492"/>
      <c r="S21" s="492"/>
      <c r="T21" s="492"/>
      <c r="U21" s="492"/>
      <c r="V21" s="492"/>
      <c r="W21" s="492"/>
    </row>
    <row r="22" spans="1:23" s="493" customFormat="1" ht="13.5" thickBot="1">
      <c r="A22" s="365"/>
      <c r="B22" s="374"/>
      <c r="C22" s="806" t="str">
        <f>IF(Lookups!$K$20="Yes",warrantedMedium,IF(Lookups!$K$20="No",doesntMeetThresholds,IF(OR(Lookups!$K$20="Unknown",C21=0,C21="-"),"",VLOOKUP(C21,Lookups!B4:C9,2))))</f>
        <v/>
      </c>
      <c r="D22" s="807"/>
      <c r="E22" s="365"/>
      <c r="F22" s="492"/>
      <c r="G22" s="492"/>
      <c r="H22" s="492"/>
      <c r="I22" s="492"/>
      <c r="J22" s="492"/>
      <c r="K22" s="492"/>
      <c r="L22" s="492"/>
      <c r="M22" s="492"/>
      <c r="N22" s="492"/>
      <c r="O22" s="492"/>
      <c r="P22" s="492"/>
      <c r="Q22" s="492"/>
      <c r="R22" s="492"/>
      <c r="S22" s="492"/>
      <c r="T22" s="492"/>
      <c r="U22" s="492"/>
      <c r="V22" s="492"/>
      <c r="W22" s="492"/>
    </row>
    <row r="23" spans="1:23" s="493" customFormat="1" ht="13" thickBot="1">
      <c r="A23" s="366"/>
      <c r="B23" s="362"/>
      <c r="C23" s="366"/>
      <c r="D23" s="366"/>
      <c r="E23" s="366"/>
      <c r="F23" s="492"/>
      <c r="G23" s="492"/>
      <c r="H23" s="492"/>
      <c r="I23" s="492"/>
      <c r="J23" s="492"/>
      <c r="K23" s="492"/>
      <c r="L23" s="492"/>
      <c r="M23" s="492"/>
      <c r="N23" s="492"/>
      <c r="O23" s="492"/>
      <c r="P23" s="492"/>
      <c r="Q23" s="492"/>
      <c r="R23" s="492"/>
      <c r="S23" s="492"/>
      <c r="T23" s="492"/>
      <c r="U23" s="492"/>
      <c r="V23" s="492"/>
      <c r="W23" s="492"/>
    </row>
    <row r="24" spans="1:23" ht="16" thickBot="1">
      <c r="A24" s="794" t="s">
        <v>175</v>
      </c>
      <c r="B24" s="795"/>
      <c r="C24" s="795"/>
      <c r="D24" s="795"/>
      <c r="E24" s="796"/>
      <c r="G24" s="497"/>
      <c r="H24" s="497"/>
      <c r="I24" s="497"/>
      <c r="J24" s="497"/>
      <c r="K24" s="497"/>
      <c r="L24" s="497"/>
      <c r="M24" s="497"/>
      <c r="N24" s="497"/>
      <c r="O24" s="497"/>
      <c r="P24" s="497"/>
      <c r="Q24" s="497"/>
      <c r="R24" s="497"/>
      <c r="S24" s="497"/>
      <c r="T24" s="497"/>
      <c r="U24" s="497"/>
      <c r="V24" s="497"/>
      <c r="W24" s="497"/>
    </row>
    <row r="25" spans="1:23" ht="10.4" customHeight="1">
      <c r="A25" s="797" t="s">
        <v>83</v>
      </c>
      <c r="B25" s="799" t="s">
        <v>178</v>
      </c>
      <c r="C25" s="801" t="s">
        <v>179</v>
      </c>
      <c r="D25" s="802"/>
      <c r="E25" s="797" t="s">
        <v>180</v>
      </c>
      <c r="F25" s="498"/>
      <c r="G25" s="499"/>
      <c r="H25" s="499"/>
      <c r="I25" s="499"/>
      <c r="J25" s="499"/>
      <c r="K25" s="499"/>
      <c r="L25" s="499"/>
      <c r="M25" s="497"/>
      <c r="N25" s="497"/>
      <c r="O25" s="497"/>
      <c r="P25" s="497"/>
      <c r="Q25" s="497"/>
      <c r="R25" s="497"/>
      <c r="S25" s="497"/>
      <c r="T25" s="497"/>
      <c r="U25" s="497"/>
      <c r="V25" s="497"/>
      <c r="W25" s="497"/>
    </row>
    <row r="26" spans="1:23" ht="13.5" thickBot="1">
      <c r="A26" s="798"/>
      <c r="B26" s="800"/>
      <c r="C26" s="68" t="str">
        <f>C8</f>
        <v>Current Year ()</v>
      </c>
      <c r="D26" s="69" t="str">
        <f>D8</f>
        <v>Horizon (None)</v>
      </c>
      <c r="E26" s="798"/>
      <c r="F26" s="498"/>
      <c r="G26" s="498"/>
      <c r="H26" s="498"/>
      <c r="I26" s="498"/>
      <c r="J26" s="498"/>
      <c r="K26" s="498"/>
      <c r="L26" s="498"/>
    </row>
    <row r="27" spans="1:23" ht="13">
      <c r="A27" s="75">
        <v>9</v>
      </c>
      <c r="B27" s="257" t="s">
        <v>192</v>
      </c>
      <c r="C27" s="306">
        <f>IF('Travel Forecasts for Evaluation'!D25="","-",'Travel Forecasts for Evaluation'!D25)</f>
        <v>0</v>
      </c>
      <c r="D27" s="307" t="str">
        <f>IF('Project Description'!$C$96="(Select…)","-",IF('Project Description'!$C$96="None","---",IF('Travel Forecasts for Evaluation'!E25="","-",'Travel Forecasts for Evaluation'!E25)))</f>
        <v>---</v>
      </c>
      <c r="E27" s="277" t="s">
        <v>497</v>
      </c>
      <c r="F27" s="272"/>
      <c r="G27" s="272"/>
      <c r="H27" s="272"/>
      <c r="I27" s="272"/>
      <c r="J27" s="272"/>
      <c r="K27" s="498"/>
      <c r="L27" s="498"/>
    </row>
    <row r="28" spans="1:23" s="493" customFormat="1" ht="42.75" customHeight="1" thickBot="1">
      <c r="A28" s="275">
        <v>10</v>
      </c>
      <c r="B28" s="276" t="s">
        <v>182</v>
      </c>
      <c r="C28" s="804">
        <f>IF(Lookups!$K$20="Yes","N/A",IF(OR(Lookups!$K$20="No",Lookups!$K$20="Unclear"),"---",IF(D27="-",D27,IF(D27="---",C27,(C27+D27)/2))))</f>
        <v>0</v>
      </c>
      <c r="D28" s="805"/>
      <c r="E28" s="276" t="s">
        <v>191</v>
      </c>
      <c r="F28" s="492"/>
      <c r="G28" s="492"/>
      <c r="H28" s="492"/>
      <c r="I28" s="492"/>
      <c r="J28" s="492"/>
      <c r="K28" s="492"/>
      <c r="L28" s="492"/>
      <c r="M28" s="492"/>
      <c r="N28" s="492"/>
      <c r="O28" s="492"/>
      <c r="P28" s="492"/>
      <c r="Q28" s="492"/>
      <c r="R28" s="492"/>
      <c r="S28" s="492"/>
      <c r="T28" s="492"/>
      <c r="U28" s="492"/>
      <c r="V28" s="492"/>
      <c r="W28" s="492"/>
    </row>
    <row r="29" spans="1:23" ht="13.5" thickBot="1">
      <c r="A29" s="271"/>
      <c r="C29" s="806" t="str">
        <f>IF(Lookups!$K$20="Yes",warrantedMedium,IF(Lookups!$K$20="No",doesntMeetThresholds,IF(OR(Lookups!$K$20="Unknown",C28="-"),"",VLOOKUP(C28,Lookups!B33:C37,2))))</f>
        <v>LOW</v>
      </c>
      <c r="D29" s="807"/>
      <c r="E29" s="272"/>
      <c r="F29" s="272"/>
      <c r="G29" s="272"/>
      <c r="H29" s="272"/>
      <c r="I29" s="272"/>
      <c r="J29" s="272"/>
      <c r="K29" s="498"/>
      <c r="L29" s="498"/>
    </row>
    <row r="30" spans="1:23" ht="13">
      <c r="A30" s="271"/>
      <c r="F30" s="498"/>
      <c r="G30" s="498"/>
      <c r="H30" s="498"/>
      <c r="I30" s="498"/>
      <c r="J30" s="498"/>
      <c r="K30" s="498"/>
      <c r="L30" s="498"/>
    </row>
    <row r="31" spans="1:23" ht="13">
      <c r="A31" s="271"/>
    </row>
    <row r="32" spans="1:23" ht="13">
      <c r="A32" s="271"/>
    </row>
    <row r="33" spans="1:1" ht="13">
      <c r="A33" s="271"/>
    </row>
    <row r="34" spans="1:1">
      <c r="A34" s="501"/>
    </row>
  </sheetData>
  <sheetProtection algorithmName="SHA-512" hashValue="AFP2IR2PP8ketLgU/2au8VQzM5wD1hN910BMnjHcNei9jZ4C/WELsdPNuSfZnJUw+IPwUIpOvPTescK6YOZBCQ==" saltValue="w3PcalBZiFjkdQs23FXupw==" spinCount="100000" sheet="1" formatCells="0" formatColumns="0" formatRows="0" insertColumns="0" insertRows="0" insertHyperlinks="0" selectLockedCells="1"/>
  <customSheetViews>
    <customSheetView guid="{AB5399CE-BEB7-40AA-A66C-46449E135DF8}" showGridLines="0" fitToPage="1">
      <selection activeCell="D5" sqref="D5"/>
      <pageMargins left="0" right="0" top="0" bottom="0" header="0" footer="0"/>
      <printOptions horizontalCentered="1"/>
      <pageSetup scale="84" orientation="landscape" r:id="rId1"/>
      <headerFooter alignWithMargins="0"/>
    </customSheetView>
  </customSheetViews>
  <mergeCells count="24">
    <mergeCell ref="C28:D28"/>
    <mergeCell ref="C11:D11"/>
    <mergeCell ref="C22:D22"/>
    <mergeCell ref="C29:D29"/>
    <mergeCell ref="B14:B15"/>
    <mergeCell ref="C14:D14"/>
    <mergeCell ref="A24:E24"/>
    <mergeCell ref="A25:A26"/>
    <mergeCell ref="B25:B26"/>
    <mergeCell ref="C25:D25"/>
    <mergeCell ref="E25:E26"/>
    <mergeCell ref="A1:E1"/>
    <mergeCell ref="A2:B2"/>
    <mergeCell ref="C21:D21"/>
    <mergeCell ref="C10:D10"/>
    <mergeCell ref="C2:E2"/>
    <mergeCell ref="A6:E6"/>
    <mergeCell ref="A13:E13"/>
    <mergeCell ref="A7:A8"/>
    <mergeCell ref="B7:B8"/>
    <mergeCell ref="C7:D7"/>
    <mergeCell ref="E7:E8"/>
    <mergeCell ref="A14:A15"/>
    <mergeCell ref="A4:E4"/>
  </mergeCells>
  <phoneticPr fontId="0" type="noConversion"/>
  <conditionalFormatting sqref="A4">
    <cfRule type="expression" dxfId="25" priority="81">
      <formula>AND($A4&lt;&gt;"")</formula>
    </cfRule>
  </conditionalFormatting>
  <printOptions horizontalCentered="1"/>
  <pageMargins left="0.4" right="0.4" top="0.5" bottom="0.5" header="0.5" footer="0.5"/>
  <pageSetup scale="84" orientation="landscape"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G266"/>
  <sheetViews>
    <sheetView showGridLines="0" zoomScaleNormal="100" workbookViewId="0">
      <selection activeCell="C8" sqref="C8:D8"/>
    </sheetView>
  </sheetViews>
  <sheetFormatPr defaultColWidth="9.33203125" defaultRowHeight="15.5"/>
  <cols>
    <col min="1" max="1" width="37.6640625" style="1" customWidth="1"/>
    <col min="2" max="2" width="43.6640625" style="1" customWidth="1"/>
    <col min="3" max="6" width="11.6640625" style="1" customWidth="1"/>
    <col min="7" max="7" width="14.109375" style="1" customWidth="1"/>
    <col min="8" max="16384" width="9.33203125" style="1"/>
  </cols>
  <sheetData>
    <row r="1" spans="1:7" s="3" customFormat="1" ht="18.5" thickBot="1">
      <c r="A1" s="648" t="s">
        <v>193</v>
      </c>
      <c r="B1" s="649"/>
      <c r="C1" s="649"/>
      <c r="D1" s="649"/>
      <c r="E1" s="649"/>
      <c r="F1" s="649"/>
      <c r="G1" s="650"/>
    </row>
    <row r="2" spans="1:7" s="6" customFormat="1" ht="16" thickBot="1">
      <c r="A2" s="82" t="s">
        <v>0</v>
      </c>
      <c r="B2" s="717" t="str">
        <f>IF('Project Description'!B2:D2&lt;&gt;"",+'Project Description'!B2:D2,"")</f>
        <v/>
      </c>
      <c r="C2" s="718"/>
      <c r="D2" s="718"/>
      <c r="E2" s="718"/>
      <c r="F2" s="718"/>
      <c r="G2" s="719"/>
    </row>
    <row r="3" spans="1:7" s="4" customFormat="1" ht="13.5" thickBot="1">
      <c r="A3" s="852"/>
      <c r="B3" s="853"/>
      <c r="C3" s="853"/>
      <c r="D3" s="853"/>
      <c r="E3" s="853"/>
      <c r="F3" s="853"/>
      <c r="G3" s="854"/>
    </row>
    <row r="4" spans="1:7" s="4" customFormat="1" ht="13.5" thickBot="1">
      <c r="A4" s="663" t="s">
        <v>194</v>
      </c>
      <c r="B4" s="664"/>
      <c r="C4" s="664"/>
      <c r="D4" s="664"/>
      <c r="E4" s="664"/>
      <c r="F4" s="664"/>
      <c r="G4" s="665"/>
    </row>
    <row r="5" spans="1:7" s="4" customFormat="1" ht="12.75" customHeight="1">
      <c r="A5" s="83" t="s">
        <v>195</v>
      </c>
      <c r="B5" s="84"/>
      <c r="C5" s="838" t="str">
        <f>'Travel Forecasts for Evaluation'!D8</f>
        <v>Current Year ()</v>
      </c>
      <c r="D5" s="839"/>
      <c r="E5" s="838" t="str">
        <f>'Travel Forecasts for Evaluation'!E8</f>
        <v>Horizon (None)</v>
      </c>
      <c r="F5" s="839"/>
      <c r="G5" s="641" t="s">
        <v>196</v>
      </c>
    </row>
    <row r="6" spans="1:7" s="4" customFormat="1" ht="13.5" thickBot="1">
      <c r="A6" s="224" t="s">
        <v>178</v>
      </c>
      <c r="B6" s="21"/>
      <c r="C6" s="840"/>
      <c r="D6" s="841"/>
      <c r="E6" s="840"/>
      <c r="F6" s="841"/>
      <c r="G6" s="643"/>
    </row>
    <row r="7" spans="1:7" s="4" customFormat="1" ht="13">
      <c r="A7" s="909" t="s">
        <v>197</v>
      </c>
      <c r="B7" s="910"/>
      <c r="C7" s="911"/>
      <c r="D7" s="911"/>
      <c r="E7" s="911"/>
      <c r="F7" s="911"/>
      <c r="G7" s="375"/>
    </row>
    <row r="8" spans="1:7" s="4" customFormat="1" ht="12.5">
      <c r="A8" s="900" t="s">
        <v>198</v>
      </c>
      <c r="B8" s="901"/>
      <c r="C8" s="865"/>
      <c r="D8" s="865"/>
      <c r="E8" s="865"/>
      <c r="F8" s="865"/>
      <c r="G8" s="376" t="str">
        <f>IF('Project Description'!$C$96="(Select…)","-",IF('Project Description'!$C$96="None","---",IF(C8&lt;&gt;0,(E8-C8)/C8,0)))</f>
        <v>---</v>
      </c>
    </row>
    <row r="9" spans="1:7" s="4" customFormat="1" ht="13" thickBot="1">
      <c r="A9" s="902" t="s">
        <v>199</v>
      </c>
      <c r="B9" s="903"/>
      <c r="C9" s="904"/>
      <c r="D9" s="904"/>
      <c r="E9" s="904"/>
      <c r="F9" s="904"/>
      <c r="G9" s="377" t="str">
        <f>IF(NOT(ISNUMBER(G$8)),G$8,IF(C9&lt;&gt;0,(E9-C9)/C9,0))</f>
        <v>---</v>
      </c>
    </row>
    <row r="10" spans="1:7" s="4" customFormat="1" ht="13.5" thickBot="1">
      <c r="A10" s="892"/>
      <c r="B10" s="893"/>
      <c r="C10" s="893"/>
      <c r="D10" s="893"/>
      <c r="E10" s="893"/>
      <c r="F10" s="893"/>
      <c r="G10" s="894"/>
    </row>
    <row r="11" spans="1:7" s="4" customFormat="1" ht="13">
      <c r="A11" s="918" t="s">
        <v>200</v>
      </c>
      <c r="B11" s="919"/>
      <c r="C11" s="907"/>
      <c r="D11" s="907"/>
      <c r="E11" s="907"/>
      <c r="F11" s="907"/>
      <c r="G11" s="378"/>
    </row>
    <row r="12" spans="1:7" s="4" customFormat="1" ht="12.5">
      <c r="A12" s="819" t="s">
        <v>199</v>
      </c>
      <c r="B12" s="820"/>
      <c r="C12" s="912"/>
      <c r="D12" s="913"/>
      <c r="E12" s="914"/>
      <c r="F12" s="915"/>
      <c r="G12" s="379" t="str">
        <f>IF(NOT(ISNUMBER(G$8)),G$8,IF(C12&lt;&gt;0,(E12-C12)/C12,0))</f>
        <v>---</v>
      </c>
    </row>
    <row r="13" spans="1:7" s="4" customFormat="1" ht="12.5">
      <c r="A13" s="842" t="s">
        <v>201</v>
      </c>
      <c r="B13" s="843"/>
      <c r="C13" s="916">
        <f>IF(C9&lt;&gt;0,+C12/C9,0)</f>
        <v>0</v>
      </c>
      <c r="D13" s="917"/>
      <c r="E13" s="916" t="str">
        <f>IF(NOT(ISNUMBER(G$8)),G$8,IF(E9&lt;&gt;0,+E12/E9,0))</f>
        <v>---</v>
      </c>
      <c r="F13" s="917"/>
      <c r="G13" s="193" t="s">
        <v>112</v>
      </c>
    </row>
    <row r="14" spans="1:7" s="4" customFormat="1" ht="12.5">
      <c r="A14" s="347" t="s">
        <v>202</v>
      </c>
      <c r="B14" s="348"/>
      <c r="C14" s="864"/>
      <c r="D14" s="864"/>
      <c r="E14" s="863" t="str">
        <f>IF(NOT(ISNUMBER(G$8)),G$8,+C14)</f>
        <v>---</v>
      </c>
      <c r="F14" s="863"/>
      <c r="G14" s="193" t="s">
        <v>112</v>
      </c>
    </row>
    <row r="15" spans="1:7" s="4" customFormat="1" ht="13" thickBot="1">
      <c r="A15" s="844" t="s">
        <v>203</v>
      </c>
      <c r="B15" s="845"/>
      <c r="C15" s="898">
        <f>IF(C14&lt;&gt;0,C12/C14,0)</f>
        <v>0</v>
      </c>
      <c r="D15" s="899"/>
      <c r="E15" s="898" t="str">
        <f>IF(NOT(ISNUMBER(G$8)),G$8,IF(E14&gt;0,E12/E14,0))</f>
        <v>---</v>
      </c>
      <c r="F15" s="899"/>
      <c r="G15" s="380" t="s">
        <v>112</v>
      </c>
    </row>
    <row r="16" spans="1:7" s="4" customFormat="1" ht="13.5" thickBot="1">
      <c r="A16" s="852"/>
      <c r="B16" s="853"/>
      <c r="C16" s="853"/>
      <c r="D16" s="853"/>
      <c r="E16" s="853"/>
      <c r="F16" s="853"/>
      <c r="G16" s="854"/>
    </row>
    <row r="17" spans="1:7" s="4" customFormat="1" ht="13">
      <c r="A17" s="905" t="s">
        <v>204</v>
      </c>
      <c r="B17" s="906"/>
      <c r="C17" s="907"/>
      <c r="D17" s="907"/>
      <c r="E17" s="907"/>
      <c r="F17" s="907"/>
      <c r="G17" s="378"/>
    </row>
    <row r="18" spans="1:7" s="4" customFormat="1" ht="12.5">
      <c r="A18" s="896" t="s">
        <v>198</v>
      </c>
      <c r="B18" s="897"/>
      <c r="C18" s="865"/>
      <c r="D18" s="865"/>
      <c r="E18" s="865"/>
      <c r="F18" s="865"/>
      <c r="G18" s="379" t="str">
        <f t="shared" ref="G18:G19" si="0">IF(NOT(ISNUMBER(G$8)),G$8,IF(C18&lt;&gt;0,(E18-C18)/C18,0))</f>
        <v>---</v>
      </c>
    </row>
    <row r="19" spans="1:7" s="4" customFormat="1" ht="12.5">
      <c r="A19" s="866" t="s">
        <v>199</v>
      </c>
      <c r="B19" s="867"/>
      <c r="C19" s="868"/>
      <c r="D19" s="868"/>
      <c r="E19" s="868"/>
      <c r="F19" s="868"/>
      <c r="G19" s="379" t="str">
        <f t="shared" si="0"/>
        <v>---</v>
      </c>
    </row>
    <row r="20" spans="1:7" s="4" customFormat="1" ht="12.5">
      <c r="A20" s="866" t="s">
        <v>205</v>
      </c>
      <c r="B20" s="867"/>
      <c r="C20" s="891">
        <f>IF(C8&gt;0,C18/C8,0)</f>
        <v>0</v>
      </c>
      <c r="D20" s="891"/>
      <c r="E20" s="891" t="str">
        <f>IF(NOT(ISNUMBER(G$8)),G$8,IF(E8&gt;0,E18/E8,0))</f>
        <v>---</v>
      </c>
      <c r="F20" s="891"/>
      <c r="G20" s="193" t="s">
        <v>112</v>
      </c>
    </row>
    <row r="21" spans="1:7" s="4" customFormat="1" ht="12.5">
      <c r="A21" s="866" t="s">
        <v>201</v>
      </c>
      <c r="B21" s="867"/>
      <c r="C21" s="891">
        <f>IF(C9&gt;0,C19/C9,0)</f>
        <v>0</v>
      </c>
      <c r="D21" s="891"/>
      <c r="E21" s="891" t="str">
        <f>IF(NOT(ISNUMBER(G$8)),G$8,IF(E9&gt;0,E19/E9,0))</f>
        <v>---</v>
      </c>
      <c r="F21" s="891"/>
      <c r="G21" s="193" t="s">
        <v>112</v>
      </c>
    </row>
    <row r="22" spans="1:7" s="4" customFormat="1" ht="12.5">
      <c r="A22" s="866" t="s">
        <v>206</v>
      </c>
      <c r="B22" s="867"/>
      <c r="C22" s="908"/>
      <c r="D22" s="908"/>
      <c r="E22" s="863" t="str">
        <f>IF(NOT(ISNUMBER(G$8)),G$8,+C22)</f>
        <v>---</v>
      </c>
      <c r="F22" s="863"/>
      <c r="G22" s="193" t="s">
        <v>112</v>
      </c>
    </row>
    <row r="23" spans="1:7" s="4" customFormat="1" ht="12.5">
      <c r="A23" s="866" t="s">
        <v>207</v>
      </c>
      <c r="B23" s="867"/>
      <c r="C23" s="895">
        <f>IF(C$22&lt;&gt;0,C18/C$22,0)</f>
        <v>0</v>
      </c>
      <c r="D23" s="895"/>
      <c r="E23" s="895" t="str">
        <f>IF(NOT(ISNUMBER(G$8)),G$8,IF(E$22&lt;&gt;0,E18/E$22,0))</f>
        <v>---</v>
      </c>
      <c r="F23" s="895"/>
      <c r="G23" s="193" t="s">
        <v>112</v>
      </c>
    </row>
    <row r="24" spans="1:7" s="4" customFormat="1" ht="13" thickBot="1">
      <c r="A24" s="888" t="s">
        <v>208</v>
      </c>
      <c r="B24" s="889"/>
      <c r="C24" s="890">
        <f>IF(C$22&lt;&gt;0,C19/C$22,0)</f>
        <v>0</v>
      </c>
      <c r="D24" s="890"/>
      <c r="E24" s="890" t="str">
        <f>IF(NOT(ISNUMBER(G$8)),G$8,IF(E$22&lt;&gt;0,E19/E$22,0))</f>
        <v>---</v>
      </c>
      <c r="F24" s="890"/>
      <c r="G24" s="381" t="s">
        <v>112</v>
      </c>
    </row>
    <row r="25" spans="1:7" s="4" customFormat="1" ht="13.5" thickBot="1">
      <c r="A25" s="85"/>
      <c r="B25" s="350"/>
      <c r="C25" s="350"/>
      <c r="D25" s="350"/>
      <c r="E25" s="350"/>
      <c r="F25" s="350"/>
      <c r="G25" s="350"/>
    </row>
    <row r="26" spans="1:7" s="4" customFormat="1" ht="13">
      <c r="A26" s="905" t="s">
        <v>209</v>
      </c>
      <c r="B26" s="906"/>
      <c r="C26" s="907"/>
      <c r="D26" s="907"/>
      <c r="E26" s="907"/>
      <c r="F26" s="907"/>
      <c r="G26" s="378"/>
    </row>
    <row r="27" spans="1:7" s="4" customFormat="1" ht="12.5">
      <c r="A27" s="819" t="s">
        <v>210</v>
      </c>
      <c r="B27" s="820"/>
      <c r="C27" s="947">
        <f>C52+C56+C60+C64+C68</f>
        <v>0</v>
      </c>
      <c r="D27" s="947"/>
      <c r="E27" s="822" t="s">
        <v>112</v>
      </c>
      <c r="F27" s="823"/>
      <c r="G27" s="194" t="s">
        <v>112</v>
      </c>
    </row>
    <row r="28" spans="1:7" s="4" customFormat="1" ht="12.5">
      <c r="A28" s="824" t="s">
        <v>211</v>
      </c>
      <c r="B28" s="825"/>
      <c r="C28" s="947">
        <f>C53+C57+C61+C65+C69</f>
        <v>0</v>
      </c>
      <c r="D28" s="947"/>
      <c r="E28" s="822" t="s">
        <v>112</v>
      </c>
      <c r="F28" s="823"/>
      <c r="G28" s="194" t="s">
        <v>112</v>
      </c>
    </row>
    <row r="29" spans="1:7" s="4" customFormat="1" ht="13" thickBot="1">
      <c r="A29" s="810" t="s">
        <v>212</v>
      </c>
      <c r="B29" s="811"/>
      <c r="C29" s="933"/>
      <c r="D29" s="934"/>
      <c r="E29" s="935" t="s">
        <v>112</v>
      </c>
      <c r="F29" s="936"/>
      <c r="G29" s="382" t="s">
        <v>112</v>
      </c>
    </row>
    <row r="30" spans="1:7" s="4" customFormat="1" ht="13.5" thickBot="1">
      <c r="A30" s="86"/>
      <c r="B30" s="87"/>
      <c r="C30" s="87"/>
      <c r="D30" s="87"/>
      <c r="E30" s="87"/>
      <c r="F30" s="87"/>
      <c r="G30" s="87"/>
    </row>
    <row r="31" spans="1:7" s="4" customFormat="1" ht="13">
      <c r="A31" s="816" t="s">
        <v>213</v>
      </c>
      <c r="B31" s="817"/>
      <c r="C31" s="817"/>
      <c r="D31" s="817"/>
      <c r="E31" s="817"/>
      <c r="F31" s="817"/>
      <c r="G31" s="818"/>
    </row>
    <row r="32" spans="1:7" s="4" customFormat="1" ht="12.5">
      <c r="A32" s="819" t="s">
        <v>210</v>
      </c>
      <c r="B32" s="820"/>
      <c r="C32" s="869">
        <f>C77+C86+C95+C104+C113+C122+C131+C143+C152+C161+C170+C179+C188+C197+C209+C218+C227+C236+C245+C254</f>
        <v>0</v>
      </c>
      <c r="D32" s="869"/>
      <c r="E32" s="822" t="s">
        <v>112</v>
      </c>
      <c r="F32" s="823"/>
      <c r="G32" s="194" t="s">
        <v>112</v>
      </c>
    </row>
    <row r="33" spans="1:7" s="4" customFormat="1" ht="12.5">
      <c r="A33" s="824" t="s">
        <v>211</v>
      </c>
      <c r="B33" s="825"/>
      <c r="C33" s="885"/>
      <c r="D33" s="885"/>
      <c r="E33" s="822" t="s">
        <v>112</v>
      </c>
      <c r="F33" s="823"/>
      <c r="G33" s="194" t="s">
        <v>112</v>
      </c>
    </row>
    <row r="34" spans="1:7" s="4" customFormat="1" ht="12.5">
      <c r="A34" s="842" t="s">
        <v>214</v>
      </c>
      <c r="B34" s="843"/>
      <c r="C34" s="869">
        <f>+C78+C87+C96+C105+C114+C123+C132+C144+C153+C162+C171+C180+C189+C198+C210+C219+C228+C237+C246+C255</f>
        <v>0</v>
      </c>
      <c r="D34" s="869"/>
      <c r="E34" s="869" t="str">
        <f>IF(NOT(ISNUMBER(G$8)),G$8,+E78+E87+E96+E105+E114+E123+E132+E144+E153+E162+E171+E180+E189+E198+E210+E219+E228+E237+E246+E255)</f>
        <v>---</v>
      </c>
      <c r="F34" s="869"/>
      <c r="G34" s="379" t="str">
        <f t="shared" ref="G34:G35" si="1">IF(NOT(ISNUMBER(G$8)),G$8,IF(C34&lt;&gt;0,(E34-C34)/C34,0))</f>
        <v>---</v>
      </c>
    </row>
    <row r="35" spans="1:7" s="4" customFormat="1" ht="12.5">
      <c r="A35" s="945" t="s">
        <v>215</v>
      </c>
      <c r="B35" s="946"/>
      <c r="C35" s="869">
        <f>+C79+C88+C97+C106+C115+C124+C133+C145+C154+C163+C172+C181+C190+C199+C211+C220+C229+C238+C247+C256</f>
        <v>0</v>
      </c>
      <c r="D35" s="869"/>
      <c r="E35" s="869" t="str">
        <f>IF(NOT(ISNUMBER(G$8)),G$8,+E79+E88+E97+E106+E115+E124+E133+E145+E154+E163+E172+E181+E190+E199+E211+E220+E229+E238+E247+E256)</f>
        <v>---</v>
      </c>
      <c r="F35" s="869"/>
      <c r="G35" s="379" t="str">
        <f t="shared" si="1"/>
        <v>---</v>
      </c>
    </row>
    <row r="36" spans="1:7" s="4" customFormat="1" ht="12.75" customHeight="1">
      <c r="A36" s="945" t="s">
        <v>216</v>
      </c>
      <c r="B36" s="950"/>
      <c r="C36" s="948"/>
      <c r="D36" s="949"/>
      <c r="E36" s="383"/>
      <c r="F36" s="384"/>
      <c r="G36" s="385"/>
    </row>
    <row r="37" spans="1:7" s="4" customFormat="1" ht="12.5">
      <c r="A37" s="842" t="s">
        <v>217</v>
      </c>
      <c r="B37" s="843"/>
      <c r="C37" s="937">
        <f>+C80+C89+C98+C107+C116+C125+C134+C146+C155+C164+C173+C182+C191+C200+C212+C221+C230+C239+C248+C257</f>
        <v>0</v>
      </c>
      <c r="D37" s="938"/>
      <c r="E37" s="870" t="str">
        <f>IF(NOT(ISNUMBER(G$8)),G$8,C37)</f>
        <v>---</v>
      </c>
      <c r="F37" s="871"/>
      <c r="G37" s="386" t="s">
        <v>112</v>
      </c>
    </row>
    <row r="38" spans="1:7" s="4" customFormat="1" ht="12.5">
      <c r="A38" s="842" t="s">
        <v>218</v>
      </c>
      <c r="B38" s="843"/>
      <c r="C38" s="874">
        <f>IF(C$37&lt;&gt;0,C32/C$37,0)</f>
        <v>0</v>
      </c>
      <c r="D38" s="875"/>
      <c r="E38" s="872" t="s">
        <v>112</v>
      </c>
      <c r="F38" s="873"/>
      <c r="G38" s="386" t="s">
        <v>112</v>
      </c>
    </row>
    <row r="39" spans="1:7" s="4" customFormat="1" ht="12.5">
      <c r="A39" s="842" t="s">
        <v>207</v>
      </c>
      <c r="B39" s="843"/>
      <c r="C39" s="874">
        <f>IF(C$37&lt;&gt;0,C34/C$37,0)</f>
        <v>0</v>
      </c>
      <c r="D39" s="875"/>
      <c r="E39" s="874" t="str">
        <f>IF(NOT(ISNUMBER(G$8)),G$8,IF(E$37&lt;&gt;0,E34/E$37,0))</f>
        <v>---</v>
      </c>
      <c r="F39" s="875"/>
      <c r="G39" s="386" t="s">
        <v>112</v>
      </c>
    </row>
    <row r="40" spans="1:7" s="4" customFormat="1" ht="12.5">
      <c r="A40" s="842" t="s">
        <v>219</v>
      </c>
      <c r="B40" s="843"/>
      <c r="C40" s="874">
        <f>IF(C$37&lt;&gt;0,C35/C$37,0)</f>
        <v>0</v>
      </c>
      <c r="D40" s="875"/>
      <c r="E40" s="874" t="str">
        <f>IF(NOT(ISNUMBER(G$8)),G$8,IF(E$37&lt;&gt;0,E35/E$37,0))</f>
        <v>---</v>
      </c>
      <c r="F40" s="875"/>
      <c r="G40" s="386" t="s">
        <v>112</v>
      </c>
    </row>
    <row r="41" spans="1:7" s="4" customFormat="1" ht="13" thickBot="1">
      <c r="A41" s="939" t="s">
        <v>220</v>
      </c>
      <c r="B41" s="940"/>
      <c r="C41" s="941">
        <f>IF(C32&lt;&gt;0,C33/C32,0)</f>
        <v>0</v>
      </c>
      <c r="D41" s="942"/>
      <c r="E41" s="943" t="s">
        <v>112</v>
      </c>
      <c r="F41" s="944"/>
      <c r="G41" s="195" t="s">
        <v>112</v>
      </c>
    </row>
    <row r="42" spans="1:7" s="5" customFormat="1" ht="13.5" thickBot="1">
      <c r="A42" s="349"/>
      <c r="B42" s="349"/>
      <c r="C42" s="349"/>
      <c r="D42" s="349"/>
      <c r="E42" s="349"/>
      <c r="F42" s="349"/>
      <c r="G42" s="349"/>
    </row>
    <row r="43" spans="1:7" s="4" customFormat="1" ht="12.75" customHeight="1">
      <c r="A43" s="816" t="s">
        <v>221</v>
      </c>
      <c r="B43" s="817"/>
      <c r="C43" s="817"/>
      <c r="D43" s="817"/>
      <c r="E43" s="817"/>
      <c r="F43" s="817"/>
      <c r="G43" s="818"/>
    </row>
    <row r="44" spans="1:7" s="4" customFormat="1" ht="12.5">
      <c r="A44" s="819" t="s">
        <v>222</v>
      </c>
      <c r="B44" s="820"/>
      <c r="C44" s="821">
        <f>IF(C32=0,0,C33/C32)</f>
        <v>0</v>
      </c>
      <c r="D44" s="821"/>
      <c r="E44" s="822" t="s">
        <v>112</v>
      </c>
      <c r="F44" s="823"/>
      <c r="G44" s="194" t="s">
        <v>112</v>
      </c>
    </row>
    <row r="45" spans="1:7" s="4" customFormat="1" ht="12.5">
      <c r="A45" s="824" t="s">
        <v>223</v>
      </c>
      <c r="B45" s="825"/>
      <c r="C45" s="821">
        <f>IF(C27=0,0,C28/C27)</f>
        <v>0</v>
      </c>
      <c r="D45" s="821"/>
      <c r="E45" s="822" t="s">
        <v>112</v>
      </c>
      <c r="F45" s="823"/>
      <c r="G45" s="194" t="s">
        <v>112</v>
      </c>
    </row>
    <row r="46" spans="1:7" s="4" customFormat="1" ht="27" customHeight="1" thickBot="1">
      <c r="A46" s="810" t="s">
        <v>224</v>
      </c>
      <c r="B46" s="811"/>
      <c r="C46" s="812">
        <f>IF(C45=0,0,C44/C45)</f>
        <v>0</v>
      </c>
      <c r="D46" s="813"/>
      <c r="E46" s="814" t="s">
        <v>112</v>
      </c>
      <c r="F46" s="815"/>
      <c r="G46" s="387" t="s">
        <v>112</v>
      </c>
    </row>
    <row r="47" spans="1:7" s="4" customFormat="1" ht="11.9" customHeight="1" thickBot="1">
      <c r="A47" s="86"/>
      <c r="B47" s="87"/>
      <c r="C47" s="87"/>
      <c r="D47" s="87"/>
      <c r="E47" s="87"/>
      <c r="F47" s="87"/>
      <c r="G47" s="87"/>
    </row>
    <row r="48" spans="1:7" s="4" customFormat="1" ht="13.5" thickBot="1">
      <c r="A48" s="951" t="s">
        <v>225</v>
      </c>
      <c r="B48" s="952"/>
      <c r="C48" s="952"/>
      <c r="D48" s="952"/>
      <c r="E48" s="952"/>
      <c r="F48" s="952"/>
      <c r="G48" s="953"/>
    </row>
    <row r="49" spans="1:7" s="4" customFormat="1" ht="13.5" customHeight="1" thickBot="1">
      <c r="A49" s="343"/>
      <c r="B49" s="344"/>
      <c r="C49" s="663" t="s">
        <v>33</v>
      </c>
      <c r="D49" s="665"/>
      <c r="E49" s="663"/>
      <c r="F49" s="664"/>
      <c r="G49" s="345"/>
    </row>
    <row r="50" spans="1:7" s="4" customFormat="1" ht="10.4" customHeight="1" thickBot="1">
      <c r="A50" s="852"/>
      <c r="B50" s="853"/>
      <c r="C50" s="853"/>
      <c r="D50" s="853"/>
      <c r="E50" s="853"/>
      <c r="F50" s="853"/>
      <c r="G50" s="854"/>
    </row>
    <row r="51" spans="1:7" s="4" customFormat="1" ht="13">
      <c r="A51" s="346" t="s">
        <v>226</v>
      </c>
      <c r="B51" s="89" t="s">
        <v>227</v>
      </c>
      <c r="C51" s="954"/>
      <c r="D51" s="955"/>
      <c r="E51" s="955"/>
      <c r="F51" s="955"/>
      <c r="G51" s="956"/>
    </row>
    <row r="52" spans="1:7" s="4" customFormat="1" ht="12.5">
      <c r="A52" s="819" t="s">
        <v>228</v>
      </c>
      <c r="B52" s="820"/>
      <c r="C52" s="885"/>
      <c r="D52" s="885"/>
      <c r="E52" s="886"/>
      <c r="F52" s="887"/>
      <c r="G52" s="90"/>
    </row>
    <row r="53" spans="1:7" s="4" customFormat="1" ht="13" thickBot="1">
      <c r="A53" s="928" t="s">
        <v>211</v>
      </c>
      <c r="B53" s="929"/>
      <c r="C53" s="930"/>
      <c r="D53" s="930"/>
      <c r="E53" s="931"/>
      <c r="F53" s="932"/>
      <c r="G53" s="88"/>
    </row>
    <row r="54" spans="1:7" s="4" customFormat="1" ht="11.9" customHeight="1" thickBot="1">
      <c r="A54" s="86"/>
      <c r="B54" s="87"/>
      <c r="C54" s="87"/>
      <c r="D54" s="87"/>
      <c r="E54" s="87"/>
      <c r="F54" s="87"/>
      <c r="G54" s="91"/>
    </row>
    <row r="55" spans="1:7" s="4" customFormat="1" ht="12.75" customHeight="1">
      <c r="A55" s="346" t="s">
        <v>229</v>
      </c>
      <c r="B55" s="89" t="s">
        <v>227</v>
      </c>
      <c r="C55" s="954"/>
      <c r="D55" s="955"/>
      <c r="E55" s="955"/>
      <c r="F55" s="955"/>
      <c r="G55" s="956"/>
    </row>
    <row r="56" spans="1:7" s="4" customFormat="1" ht="12.5">
      <c r="A56" s="819" t="s">
        <v>210</v>
      </c>
      <c r="B56" s="820"/>
      <c r="C56" s="885"/>
      <c r="D56" s="885"/>
      <c r="E56" s="886"/>
      <c r="F56" s="887"/>
      <c r="G56" s="90"/>
    </row>
    <row r="57" spans="1:7" s="4" customFormat="1" ht="13" thickBot="1">
      <c r="A57" s="928" t="s">
        <v>211</v>
      </c>
      <c r="B57" s="929"/>
      <c r="C57" s="930"/>
      <c r="D57" s="930"/>
      <c r="E57" s="931"/>
      <c r="F57" s="932"/>
      <c r="G57" s="88"/>
    </row>
    <row r="58" spans="1:7" s="4" customFormat="1" ht="11.9" customHeight="1" thickBot="1">
      <c r="A58" s="86"/>
      <c r="B58" s="87"/>
      <c r="C58" s="87"/>
      <c r="D58" s="87"/>
      <c r="E58" s="87"/>
      <c r="F58" s="87"/>
      <c r="G58" s="91"/>
    </row>
    <row r="59" spans="1:7" s="4" customFormat="1" ht="12.75" customHeight="1">
      <c r="A59" s="346" t="s">
        <v>230</v>
      </c>
      <c r="B59" s="89" t="s">
        <v>227</v>
      </c>
      <c r="C59" s="954"/>
      <c r="D59" s="955"/>
      <c r="E59" s="955"/>
      <c r="F59" s="955"/>
      <c r="G59" s="956"/>
    </row>
    <row r="60" spans="1:7" s="4" customFormat="1" ht="12.75" customHeight="1">
      <c r="A60" s="819" t="s">
        <v>210</v>
      </c>
      <c r="B60" s="820"/>
      <c r="C60" s="885"/>
      <c r="D60" s="885"/>
      <c r="E60" s="886"/>
      <c r="F60" s="887"/>
      <c r="G60" s="90"/>
    </row>
    <row r="61" spans="1:7" s="4" customFormat="1" ht="13" thickBot="1">
      <c r="A61" s="928" t="s">
        <v>211</v>
      </c>
      <c r="B61" s="929"/>
      <c r="C61" s="930"/>
      <c r="D61" s="930"/>
      <c r="E61" s="931"/>
      <c r="F61" s="932"/>
      <c r="G61" s="88"/>
    </row>
    <row r="62" spans="1:7" s="4" customFormat="1" ht="11.9" customHeight="1" thickBot="1">
      <c r="A62" s="86"/>
      <c r="B62" s="87"/>
      <c r="C62" s="87"/>
      <c r="D62" s="87"/>
      <c r="E62" s="87"/>
      <c r="F62" s="87"/>
      <c r="G62" s="91"/>
    </row>
    <row r="63" spans="1:7" s="4" customFormat="1" ht="12.75" customHeight="1">
      <c r="A63" s="346" t="s">
        <v>231</v>
      </c>
      <c r="B63" s="89" t="s">
        <v>227</v>
      </c>
      <c r="C63" s="954"/>
      <c r="D63" s="955"/>
      <c r="E63" s="955"/>
      <c r="F63" s="955"/>
      <c r="G63" s="956"/>
    </row>
    <row r="64" spans="1:7" s="4" customFormat="1" ht="12.75" customHeight="1">
      <c r="A64" s="819" t="s">
        <v>210</v>
      </c>
      <c r="B64" s="820"/>
      <c r="C64" s="885"/>
      <c r="D64" s="885"/>
      <c r="E64" s="886"/>
      <c r="F64" s="887"/>
      <c r="G64" s="90"/>
    </row>
    <row r="65" spans="1:7" s="4" customFormat="1" ht="13" thickBot="1">
      <c r="A65" s="928" t="s">
        <v>211</v>
      </c>
      <c r="B65" s="929"/>
      <c r="C65" s="930"/>
      <c r="D65" s="930"/>
      <c r="E65" s="931"/>
      <c r="F65" s="932"/>
      <c r="G65" s="88"/>
    </row>
    <row r="66" spans="1:7" s="227" customFormat="1" ht="12" customHeight="1" thickBot="1">
      <c r="A66" s="238"/>
      <c r="B66" s="351"/>
      <c r="C66" s="351"/>
      <c r="D66" s="351"/>
      <c r="E66" s="351"/>
      <c r="F66" s="351"/>
      <c r="G66" s="239"/>
    </row>
    <row r="67" spans="1:7" s="227" customFormat="1" ht="12.75" customHeight="1">
      <c r="A67" s="240" t="s">
        <v>232</v>
      </c>
      <c r="B67" s="241" t="s">
        <v>227</v>
      </c>
      <c r="C67" s="954"/>
      <c r="D67" s="955"/>
      <c r="E67" s="955"/>
      <c r="F67" s="955"/>
      <c r="G67" s="956"/>
    </row>
    <row r="68" spans="1:7" s="227" customFormat="1" ht="12.75" customHeight="1">
      <c r="A68" s="926" t="s">
        <v>210</v>
      </c>
      <c r="B68" s="927"/>
      <c r="C68" s="885"/>
      <c r="D68" s="885"/>
      <c r="E68" s="957"/>
      <c r="F68" s="958"/>
      <c r="G68" s="242"/>
    </row>
    <row r="69" spans="1:7" s="227" customFormat="1" ht="13" thickBot="1">
      <c r="A69" s="959" t="s">
        <v>211</v>
      </c>
      <c r="B69" s="960"/>
      <c r="C69" s="930"/>
      <c r="D69" s="930"/>
      <c r="E69" s="961"/>
      <c r="F69" s="962"/>
      <c r="G69" s="243"/>
    </row>
    <row r="70" spans="1:7" s="227" customFormat="1" ht="13.5" thickBot="1">
      <c r="A70" s="884"/>
      <c r="B70" s="884"/>
      <c r="C70" s="884"/>
      <c r="D70" s="884"/>
      <c r="E70" s="884"/>
      <c r="F70" s="884"/>
      <c r="G70" s="884"/>
    </row>
    <row r="71" spans="1:7" s="3" customFormat="1" ht="18.5" thickBot="1">
      <c r="A71" s="648" t="s">
        <v>233</v>
      </c>
      <c r="B71" s="649"/>
      <c r="C71" s="649"/>
      <c r="D71" s="649"/>
      <c r="E71" s="649"/>
      <c r="F71" s="649"/>
      <c r="G71" s="650"/>
    </row>
    <row r="72" spans="1:7" s="4" customFormat="1" ht="13.5" thickBot="1">
      <c r="A72" s="92"/>
      <c r="B72" s="92"/>
      <c r="C72" s="388"/>
      <c r="D72" s="388"/>
      <c r="E72" s="93"/>
      <c r="F72" s="388"/>
      <c r="G72" s="94"/>
    </row>
    <row r="73" spans="1:7" s="4" customFormat="1" ht="13.5" thickBot="1">
      <c r="A73" s="663" t="s">
        <v>234</v>
      </c>
      <c r="B73" s="664"/>
      <c r="C73" s="664"/>
      <c r="D73" s="664"/>
      <c r="E73" s="664"/>
      <c r="F73" s="664"/>
      <c r="G73" s="665"/>
    </row>
    <row r="74" spans="1:7" s="4" customFormat="1" ht="13.5" thickBot="1">
      <c r="A74" s="343"/>
      <c r="B74" s="344"/>
      <c r="C74" s="663" t="s">
        <v>33</v>
      </c>
      <c r="D74" s="665"/>
      <c r="E74" s="663" t="s">
        <v>235</v>
      </c>
      <c r="F74" s="665"/>
      <c r="G74" s="95" t="s">
        <v>196</v>
      </c>
    </row>
    <row r="75" spans="1:7" s="4" customFormat="1" ht="13.5" thickBot="1">
      <c r="A75" s="86"/>
      <c r="B75" s="87"/>
      <c r="C75" s="87"/>
      <c r="D75" s="87"/>
      <c r="E75" s="87"/>
      <c r="F75" s="87"/>
      <c r="G75" s="91"/>
    </row>
    <row r="76" spans="1:7" s="4" customFormat="1" ht="13">
      <c r="A76" s="96" t="s">
        <v>236</v>
      </c>
      <c r="B76" s="97" t="s">
        <v>237</v>
      </c>
      <c r="C76" s="846"/>
      <c r="D76" s="846"/>
      <c r="E76" s="846"/>
      <c r="F76" s="846"/>
      <c r="G76" s="847"/>
    </row>
    <row r="77" spans="1:7" s="4" customFormat="1" ht="12.5">
      <c r="A77" s="819" t="s">
        <v>210</v>
      </c>
      <c r="B77" s="820"/>
      <c r="C77" s="855"/>
      <c r="D77" s="856"/>
      <c r="E77" s="822" t="s">
        <v>112</v>
      </c>
      <c r="F77" s="823"/>
      <c r="G77" s="194" t="s">
        <v>112</v>
      </c>
    </row>
    <row r="78" spans="1:7" s="4" customFormat="1" ht="12.5">
      <c r="A78" s="842" t="s">
        <v>214</v>
      </c>
      <c r="B78" s="843"/>
      <c r="C78" s="836"/>
      <c r="D78" s="837"/>
      <c r="E78" s="836"/>
      <c r="F78" s="837"/>
      <c r="G78" s="389" t="str">
        <f>IF(NOT(ISNUMBER(G$8)),G$8,IF(C78&lt;&gt;0,(E78-C78)/C78,0))</f>
        <v>---</v>
      </c>
    </row>
    <row r="79" spans="1:7" s="4" customFormat="1" ht="12.5">
      <c r="A79" s="842" t="s">
        <v>238</v>
      </c>
      <c r="B79" s="843"/>
      <c r="C79" s="848"/>
      <c r="D79" s="849"/>
      <c r="E79" s="836"/>
      <c r="F79" s="837"/>
      <c r="G79" s="389" t="str">
        <f>IF(NOT(ISNUMBER(G$8)),G$8,IF(C79&lt;&gt;0,(E79-C79)/C79,0))</f>
        <v>---</v>
      </c>
    </row>
    <row r="80" spans="1:7" s="4" customFormat="1" ht="12.5">
      <c r="A80" s="882" t="s">
        <v>239</v>
      </c>
      <c r="B80" s="843"/>
      <c r="C80" s="857"/>
      <c r="D80" s="858"/>
      <c r="E80" s="859" t="str">
        <f>IF(NOT(ISNUMBER(G$8)),G$8,C80)</f>
        <v>---</v>
      </c>
      <c r="F80" s="860"/>
      <c r="G80" s="386" t="s">
        <v>112</v>
      </c>
    </row>
    <row r="81" spans="1:7" s="4" customFormat="1" ht="12.5">
      <c r="A81" s="842" t="s">
        <v>218</v>
      </c>
      <c r="B81" s="843"/>
      <c r="C81" s="861">
        <f>IF(C80&lt;&gt;0,C77/C80,0)</f>
        <v>0</v>
      </c>
      <c r="D81" s="862"/>
      <c r="E81" s="822" t="s">
        <v>112</v>
      </c>
      <c r="F81" s="823"/>
      <c r="G81" s="386" t="s">
        <v>112</v>
      </c>
    </row>
    <row r="82" spans="1:7" s="4" customFormat="1" ht="12.5">
      <c r="A82" s="842" t="s">
        <v>207</v>
      </c>
      <c r="B82" s="843"/>
      <c r="C82" s="861">
        <f>IF(C80&lt;&gt;0,C78/C80,0)</f>
        <v>0</v>
      </c>
      <c r="D82" s="862"/>
      <c r="E82" s="861" t="str">
        <f>IF(NOT(ISNUMBER(G$8)),G$8,IF(E80&lt;&gt;0,E78/E80,0))</f>
        <v>---</v>
      </c>
      <c r="F82" s="862"/>
      <c r="G82" s="386" t="s">
        <v>112</v>
      </c>
    </row>
    <row r="83" spans="1:7" s="4" customFormat="1" ht="13" thickBot="1">
      <c r="A83" s="844" t="s">
        <v>219</v>
      </c>
      <c r="B83" s="845"/>
      <c r="C83" s="850">
        <f>IF(C80&lt;&gt;0,C79/C80,0)</f>
        <v>0</v>
      </c>
      <c r="D83" s="851"/>
      <c r="E83" s="850" t="str">
        <f>IF(NOT(ISNUMBER(G$8)),G$8,IF(E80&lt;&gt;0,E79/E80,0))</f>
        <v>---</v>
      </c>
      <c r="F83" s="851"/>
      <c r="G83" s="382" t="s">
        <v>112</v>
      </c>
    </row>
    <row r="84" spans="1:7" s="4" customFormat="1" ht="13.5" thickBot="1">
      <c r="A84" s="852"/>
      <c r="B84" s="853"/>
      <c r="C84" s="853"/>
      <c r="D84" s="853"/>
      <c r="E84" s="853"/>
      <c r="F84" s="853"/>
      <c r="G84" s="854"/>
    </row>
    <row r="85" spans="1:7" s="4" customFormat="1" ht="13">
      <c r="A85" s="96" t="s">
        <v>240</v>
      </c>
      <c r="B85" s="97" t="s">
        <v>237</v>
      </c>
      <c r="C85" s="846"/>
      <c r="D85" s="846"/>
      <c r="E85" s="846"/>
      <c r="F85" s="846"/>
      <c r="G85" s="847"/>
    </row>
    <row r="86" spans="1:7" s="4" customFormat="1" ht="12.5">
      <c r="A86" s="819" t="s">
        <v>210</v>
      </c>
      <c r="B86" s="820"/>
      <c r="C86" s="855"/>
      <c r="D86" s="856"/>
      <c r="E86" s="822" t="s">
        <v>112</v>
      </c>
      <c r="F86" s="823"/>
      <c r="G86" s="194" t="s">
        <v>112</v>
      </c>
    </row>
    <row r="87" spans="1:7" s="4" customFormat="1" ht="12.5">
      <c r="A87" s="842" t="s">
        <v>214</v>
      </c>
      <c r="B87" s="843"/>
      <c r="C87" s="836"/>
      <c r="D87" s="837"/>
      <c r="E87" s="836"/>
      <c r="F87" s="837"/>
      <c r="G87" s="389" t="str">
        <f>IF(NOT(ISNUMBER(G$8)),G$8,IF(C87&lt;&gt;0,(E87-C87)/C87,0))</f>
        <v>---</v>
      </c>
    </row>
    <row r="88" spans="1:7" s="4" customFormat="1" ht="12.5">
      <c r="A88" s="842" t="s">
        <v>238</v>
      </c>
      <c r="B88" s="843"/>
      <c r="C88" s="848"/>
      <c r="D88" s="849"/>
      <c r="E88" s="836"/>
      <c r="F88" s="837"/>
      <c r="G88" s="389" t="str">
        <f>IF(NOT(ISNUMBER(G$8)),G$8,IF(C88&lt;&gt;0,(E88-C88)/C88,0))</f>
        <v>---</v>
      </c>
    </row>
    <row r="89" spans="1:7" s="4" customFormat="1" ht="12.5">
      <c r="A89" s="882" t="s">
        <v>239</v>
      </c>
      <c r="B89" s="843"/>
      <c r="C89" s="857"/>
      <c r="D89" s="858"/>
      <c r="E89" s="859" t="str">
        <f>IF(NOT(ISNUMBER(G$8)),G$8,C89)</f>
        <v>---</v>
      </c>
      <c r="F89" s="860"/>
      <c r="G89" s="386" t="s">
        <v>112</v>
      </c>
    </row>
    <row r="90" spans="1:7" s="4" customFormat="1" ht="12.75" customHeight="1">
      <c r="A90" s="842" t="s">
        <v>218</v>
      </c>
      <c r="B90" s="843"/>
      <c r="C90" s="861">
        <f>IF(C89&lt;&gt;0,C86/C89,0)</f>
        <v>0</v>
      </c>
      <c r="D90" s="862"/>
      <c r="E90" s="822" t="s">
        <v>112</v>
      </c>
      <c r="F90" s="823"/>
      <c r="G90" s="386" t="s">
        <v>112</v>
      </c>
    </row>
    <row r="91" spans="1:7" s="4" customFormat="1" ht="12.75" customHeight="1">
      <c r="A91" s="842" t="s">
        <v>207</v>
      </c>
      <c r="B91" s="843"/>
      <c r="C91" s="861">
        <f>IF(C89&lt;&gt;0,C87/C89,0)</f>
        <v>0</v>
      </c>
      <c r="D91" s="862"/>
      <c r="E91" s="861" t="str">
        <f>IF(NOT(ISNUMBER(G$8)),G$8,IF(E89&lt;&gt;0,E87/E89,0))</f>
        <v>---</v>
      </c>
      <c r="F91" s="862"/>
      <c r="G91" s="386" t="s">
        <v>112</v>
      </c>
    </row>
    <row r="92" spans="1:7" s="4" customFormat="1" ht="13.5" customHeight="1" thickBot="1">
      <c r="A92" s="844" t="s">
        <v>219</v>
      </c>
      <c r="B92" s="845"/>
      <c r="C92" s="850">
        <f>IF(C89&lt;&gt;0,C88/C89,0)</f>
        <v>0</v>
      </c>
      <c r="D92" s="851"/>
      <c r="E92" s="850" t="str">
        <f>IF(NOT(ISNUMBER(G$8)),G$8,IF(E89&lt;&gt;0,E88/E89,0))</f>
        <v>---</v>
      </c>
      <c r="F92" s="851"/>
      <c r="G92" s="382" t="s">
        <v>112</v>
      </c>
    </row>
    <row r="93" spans="1:7" s="4" customFormat="1" ht="13.5" thickBot="1">
      <c r="A93" s="852"/>
      <c r="B93" s="853"/>
      <c r="C93" s="853"/>
      <c r="D93" s="853"/>
      <c r="E93" s="853"/>
      <c r="F93" s="853"/>
      <c r="G93" s="854"/>
    </row>
    <row r="94" spans="1:7" s="4" customFormat="1" ht="13">
      <c r="A94" s="96" t="s">
        <v>241</v>
      </c>
      <c r="B94" s="97" t="s">
        <v>237</v>
      </c>
      <c r="C94" s="846"/>
      <c r="D94" s="846"/>
      <c r="E94" s="846"/>
      <c r="F94" s="846"/>
      <c r="G94" s="847"/>
    </row>
    <row r="95" spans="1:7" s="4" customFormat="1" ht="12.5">
      <c r="A95" s="819" t="s">
        <v>210</v>
      </c>
      <c r="B95" s="820"/>
      <c r="C95" s="855"/>
      <c r="D95" s="856"/>
      <c r="E95" s="822" t="s">
        <v>112</v>
      </c>
      <c r="F95" s="823"/>
      <c r="G95" s="194" t="s">
        <v>112</v>
      </c>
    </row>
    <row r="96" spans="1:7" s="4" customFormat="1" ht="12.5">
      <c r="A96" s="842" t="s">
        <v>214</v>
      </c>
      <c r="B96" s="843"/>
      <c r="C96" s="836"/>
      <c r="D96" s="837"/>
      <c r="E96" s="836"/>
      <c r="F96" s="837"/>
      <c r="G96" s="389" t="str">
        <f>IF(NOT(ISNUMBER(G$8)),G$8,IF(C96&lt;&gt;0,(E96-C96)/C96,0))</f>
        <v>---</v>
      </c>
    </row>
    <row r="97" spans="1:7" s="4" customFormat="1" ht="12.5">
      <c r="A97" s="842" t="s">
        <v>238</v>
      </c>
      <c r="B97" s="843"/>
      <c r="C97" s="848"/>
      <c r="D97" s="849"/>
      <c r="E97" s="836"/>
      <c r="F97" s="837"/>
      <c r="G97" s="389" t="str">
        <f>IF(NOT(ISNUMBER(G$8)),G$8,IF(C97&lt;&gt;0,(E97-C97)/C97,0))</f>
        <v>---</v>
      </c>
    </row>
    <row r="98" spans="1:7" s="4" customFormat="1" ht="12.5">
      <c r="A98" s="882" t="s">
        <v>239</v>
      </c>
      <c r="B98" s="843"/>
      <c r="C98" s="857"/>
      <c r="D98" s="858"/>
      <c r="E98" s="859" t="str">
        <f>IF(NOT(ISNUMBER(G$8)),G$8,C98)</f>
        <v>---</v>
      </c>
      <c r="F98" s="860"/>
      <c r="G98" s="386" t="s">
        <v>112</v>
      </c>
    </row>
    <row r="99" spans="1:7" s="4" customFormat="1" ht="12.75" customHeight="1">
      <c r="A99" s="842" t="s">
        <v>218</v>
      </c>
      <c r="B99" s="843"/>
      <c r="C99" s="861">
        <f>IF(C98&lt;&gt;0,C95/C98,0)</f>
        <v>0</v>
      </c>
      <c r="D99" s="862"/>
      <c r="E99" s="822" t="s">
        <v>112</v>
      </c>
      <c r="F99" s="823"/>
      <c r="G99" s="386" t="s">
        <v>112</v>
      </c>
    </row>
    <row r="100" spans="1:7" s="4" customFormat="1" ht="12.75" customHeight="1">
      <c r="A100" s="842" t="s">
        <v>207</v>
      </c>
      <c r="B100" s="843"/>
      <c r="C100" s="861">
        <f>IF(C98&lt;&gt;0,C96/C98,0)</f>
        <v>0</v>
      </c>
      <c r="D100" s="862"/>
      <c r="E100" s="861" t="str">
        <f>IF(NOT(ISNUMBER(G$8)),G$8,IF(E98&lt;&gt;0,E96/E98,0))</f>
        <v>---</v>
      </c>
      <c r="F100" s="862"/>
      <c r="G100" s="386" t="s">
        <v>112</v>
      </c>
    </row>
    <row r="101" spans="1:7" s="4" customFormat="1" ht="13.5" customHeight="1" thickBot="1">
      <c r="A101" s="844" t="s">
        <v>219</v>
      </c>
      <c r="B101" s="845"/>
      <c r="C101" s="850">
        <f>IF(C98&lt;&gt;0,C97/C98,0)</f>
        <v>0</v>
      </c>
      <c r="D101" s="851"/>
      <c r="E101" s="850" t="str">
        <f>IF(NOT(ISNUMBER(G$8)),G$8,IF(E98&lt;&gt;0,E97/E98,0))</f>
        <v>---</v>
      </c>
      <c r="F101" s="851"/>
      <c r="G101" s="382" t="s">
        <v>112</v>
      </c>
    </row>
    <row r="102" spans="1:7" s="4" customFormat="1" ht="13.5" thickBot="1">
      <c r="A102" s="852"/>
      <c r="B102" s="853"/>
      <c r="C102" s="853"/>
      <c r="D102" s="853"/>
      <c r="E102" s="853"/>
      <c r="F102" s="853"/>
      <c r="G102" s="854"/>
    </row>
    <row r="103" spans="1:7" s="4" customFormat="1" ht="13">
      <c r="A103" s="96" t="s">
        <v>242</v>
      </c>
      <c r="B103" s="97" t="s">
        <v>237</v>
      </c>
      <c r="C103" s="846"/>
      <c r="D103" s="846"/>
      <c r="E103" s="846"/>
      <c r="F103" s="846"/>
      <c r="G103" s="847"/>
    </row>
    <row r="104" spans="1:7" s="4" customFormat="1" ht="12.5">
      <c r="A104" s="819" t="s">
        <v>210</v>
      </c>
      <c r="B104" s="820"/>
      <c r="C104" s="855"/>
      <c r="D104" s="856"/>
      <c r="E104" s="822" t="s">
        <v>112</v>
      </c>
      <c r="F104" s="823"/>
      <c r="G104" s="194" t="s">
        <v>112</v>
      </c>
    </row>
    <row r="105" spans="1:7" s="4" customFormat="1" ht="12.5">
      <c r="A105" s="842" t="s">
        <v>214</v>
      </c>
      <c r="B105" s="843"/>
      <c r="C105" s="836"/>
      <c r="D105" s="837"/>
      <c r="E105" s="836"/>
      <c r="F105" s="837"/>
      <c r="G105" s="389" t="str">
        <f>IF(NOT(ISNUMBER(G$8)),G$8,IF(C105&lt;&gt;0,(E105-C105)/C105,0))</f>
        <v>---</v>
      </c>
    </row>
    <row r="106" spans="1:7" s="4" customFormat="1" ht="12.5">
      <c r="A106" s="842" t="s">
        <v>238</v>
      </c>
      <c r="B106" s="843"/>
      <c r="C106" s="848"/>
      <c r="D106" s="849"/>
      <c r="E106" s="836"/>
      <c r="F106" s="837"/>
      <c r="G106" s="389" t="str">
        <f>IF(NOT(ISNUMBER(G$8)),G$8,IF(C106&lt;&gt;0,(E106-C106)/C106,0))</f>
        <v>---</v>
      </c>
    </row>
    <row r="107" spans="1:7" s="4" customFormat="1" ht="12.5">
      <c r="A107" s="882" t="s">
        <v>239</v>
      </c>
      <c r="B107" s="843"/>
      <c r="C107" s="857"/>
      <c r="D107" s="858"/>
      <c r="E107" s="859" t="str">
        <f>IF(NOT(ISNUMBER(G$8)),G$8,C107)</f>
        <v>---</v>
      </c>
      <c r="F107" s="860"/>
      <c r="G107" s="386" t="s">
        <v>112</v>
      </c>
    </row>
    <row r="108" spans="1:7" s="4" customFormat="1" ht="12.75" customHeight="1">
      <c r="A108" s="842" t="s">
        <v>218</v>
      </c>
      <c r="B108" s="843"/>
      <c r="C108" s="861">
        <f>IF(C107&lt;&gt;0,C104/C107,0)</f>
        <v>0</v>
      </c>
      <c r="D108" s="862"/>
      <c r="E108" s="822" t="s">
        <v>112</v>
      </c>
      <c r="F108" s="823"/>
      <c r="G108" s="386" t="s">
        <v>112</v>
      </c>
    </row>
    <row r="109" spans="1:7" s="4" customFormat="1" ht="12.75" customHeight="1">
      <c r="A109" s="842" t="s">
        <v>207</v>
      </c>
      <c r="B109" s="843"/>
      <c r="C109" s="861">
        <f>IF(C107&lt;&gt;0,C105/C107,0)</f>
        <v>0</v>
      </c>
      <c r="D109" s="862"/>
      <c r="E109" s="861" t="str">
        <f>IF(NOT(ISNUMBER(G$8)),G$8,IF(E107&lt;&gt;0,E105/E107,0))</f>
        <v>---</v>
      </c>
      <c r="F109" s="862"/>
      <c r="G109" s="386" t="s">
        <v>112</v>
      </c>
    </row>
    <row r="110" spans="1:7" s="4" customFormat="1" ht="13.5" customHeight="1" thickBot="1">
      <c r="A110" s="844" t="s">
        <v>219</v>
      </c>
      <c r="B110" s="845"/>
      <c r="C110" s="850">
        <f>IF(C107&lt;&gt;0,C106/C107,0)</f>
        <v>0</v>
      </c>
      <c r="D110" s="851"/>
      <c r="E110" s="850" t="str">
        <f>IF(NOT(ISNUMBER(G$8)),G$8,IF(E107&lt;&gt;0,E106/E107,0))</f>
        <v>---</v>
      </c>
      <c r="F110" s="851"/>
      <c r="G110" s="382" t="s">
        <v>112</v>
      </c>
    </row>
    <row r="111" spans="1:7" s="4" customFormat="1" ht="13.5" thickBot="1">
      <c r="A111" s="852"/>
      <c r="B111" s="853"/>
      <c r="C111" s="853"/>
      <c r="D111" s="853"/>
      <c r="E111" s="853"/>
      <c r="F111" s="853"/>
      <c r="G111" s="854"/>
    </row>
    <row r="112" spans="1:7" s="4" customFormat="1" ht="13">
      <c r="A112" s="96" t="s">
        <v>243</v>
      </c>
      <c r="B112" s="97" t="s">
        <v>237</v>
      </c>
      <c r="C112" s="846"/>
      <c r="D112" s="846"/>
      <c r="E112" s="846"/>
      <c r="F112" s="846"/>
      <c r="G112" s="847"/>
    </row>
    <row r="113" spans="1:7" s="4" customFormat="1" ht="12.5">
      <c r="A113" s="819" t="s">
        <v>210</v>
      </c>
      <c r="B113" s="820"/>
      <c r="C113" s="855"/>
      <c r="D113" s="856"/>
      <c r="E113" s="822" t="s">
        <v>112</v>
      </c>
      <c r="F113" s="823"/>
      <c r="G113" s="194" t="s">
        <v>112</v>
      </c>
    </row>
    <row r="114" spans="1:7" s="4" customFormat="1" ht="12.5">
      <c r="A114" s="842" t="s">
        <v>214</v>
      </c>
      <c r="B114" s="843"/>
      <c r="C114" s="836"/>
      <c r="D114" s="837"/>
      <c r="E114" s="836"/>
      <c r="F114" s="837"/>
      <c r="G114" s="389" t="str">
        <f>IF(NOT(ISNUMBER(G$8)),G$8,IF(C114&lt;&gt;0,(E114-C114)/C114,0))</f>
        <v>---</v>
      </c>
    </row>
    <row r="115" spans="1:7" s="4" customFormat="1" ht="12.5">
      <c r="A115" s="842" t="s">
        <v>238</v>
      </c>
      <c r="B115" s="843"/>
      <c r="C115" s="848"/>
      <c r="D115" s="849"/>
      <c r="E115" s="836"/>
      <c r="F115" s="837"/>
      <c r="G115" s="389" t="str">
        <f>IF(NOT(ISNUMBER(G$8)),G$8,IF(C115&lt;&gt;0,(E115-C115)/C115,0))</f>
        <v>---</v>
      </c>
    </row>
    <row r="116" spans="1:7" s="4" customFormat="1" ht="12.5">
      <c r="A116" s="882" t="s">
        <v>239</v>
      </c>
      <c r="B116" s="843"/>
      <c r="C116" s="857"/>
      <c r="D116" s="858"/>
      <c r="E116" s="859" t="str">
        <f>IF(NOT(ISNUMBER(G$8)),G$8,C116)</f>
        <v>---</v>
      </c>
      <c r="F116" s="860"/>
      <c r="G116" s="386" t="s">
        <v>112</v>
      </c>
    </row>
    <row r="117" spans="1:7" s="4" customFormat="1" ht="12.75" customHeight="1">
      <c r="A117" s="842" t="s">
        <v>218</v>
      </c>
      <c r="B117" s="843"/>
      <c r="C117" s="861">
        <f>IF(C116&lt;&gt;0,C113/C116,0)</f>
        <v>0</v>
      </c>
      <c r="D117" s="862"/>
      <c r="E117" s="822" t="s">
        <v>112</v>
      </c>
      <c r="F117" s="823"/>
      <c r="G117" s="386" t="s">
        <v>112</v>
      </c>
    </row>
    <row r="118" spans="1:7" s="4" customFormat="1" ht="12.75" customHeight="1">
      <c r="A118" s="842" t="s">
        <v>207</v>
      </c>
      <c r="B118" s="843"/>
      <c r="C118" s="861">
        <f>IF(C116&lt;&gt;0,C114/C116,0)</f>
        <v>0</v>
      </c>
      <c r="D118" s="862"/>
      <c r="E118" s="861" t="str">
        <f>IF(NOT(ISNUMBER(G$8)),G$8,IF(E116&lt;&gt;0,E114/E116,0))</f>
        <v>---</v>
      </c>
      <c r="F118" s="862"/>
      <c r="G118" s="386" t="s">
        <v>112</v>
      </c>
    </row>
    <row r="119" spans="1:7" s="4" customFormat="1" ht="13.5" customHeight="1" thickBot="1">
      <c r="A119" s="844" t="s">
        <v>219</v>
      </c>
      <c r="B119" s="845"/>
      <c r="C119" s="850">
        <f>IF(C116&lt;&gt;0,C115/C116,0)</f>
        <v>0</v>
      </c>
      <c r="D119" s="851"/>
      <c r="E119" s="850" t="str">
        <f>IF(NOT(ISNUMBER(G$8)),G$8,IF(E116&lt;&gt;0,E115/E116,0))</f>
        <v>---</v>
      </c>
      <c r="F119" s="851"/>
      <c r="G119" s="382" t="s">
        <v>112</v>
      </c>
    </row>
    <row r="120" spans="1:7" s="4" customFormat="1" ht="13.5" thickBot="1">
      <c r="A120" s="98"/>
      <c r="B120" s="99"/>
      <c r="C120" s="390"/>
      <c r="D120" s="390"/>
      <c r="E120" s="390"/>
      <c r="F120" s="390"/>
      <c r="G120" s="391"/>
    </row>
    <row r="121" spans="1:7" s="4" customFormat="1" ht="13">
      <c r="A121" s="96" t="s">
        <v>244</v>
      </c>
      <c r="B121" s="97" t="s">
        <v>237</v>
      </c>
      <c r="C121" s="846"/>
      <c r="D121" s="846"/>
      <c r="E121" s="846"/>
      <c r="F121" s="846"/>
      <c r="G121" s="847"/>
    </row>
    <row r="122" spans="1:7" s="4" customFormat="1" ht="12.5">
      <c r="A122" s="819" t="s">
        <v>210</v>
      </c>
      <c r="B122" s="820"/>
      <c r="C122" s="855"/>
      <c r="D122" s="856"/>
      <c r="E122" s="822" t="s">
        <v>112</v>
      </c>
      <c r="F122" s="823"/>
      <c r="G122" s="194" t="s">
        <v>112</v>
      </c>
    </row>
    <row r="123" spans="1:7" s="4" customFormat="1" ht="12.5">
      <c r="A123" s="842" t="s">
        <v>214</v>
      </c>
      <c r="B123" s="843"/>
      <c r="C123" s="836"/>
      <c r="D123" s="837"/>
      <c r="E123" s="836"/>
      <c r="F123" s="837"/>
      <c r="G123" s="389" t="str">
        <f>IF(NOT(ISNUMBER(G$8)),G$8,IF(C123&lt;&gt;0,(E123-C123)/C123,0))</f>
        <v>---</v>
      </c>
    </row>
    <row r="124" spans="1:7" s="4" customFormat="1" ht="12.5">
      <c r="A124" s="842" t="s">
        <v>238</v>
      </c>
      <c r="B124" s="843"/>
      <c r="C124" s="848"/>
      <c r="D124" s="849"/>
      <c r="E124" s="836"/>
      <c r="F124" s="837"/>
      <c r="G124" s="389" t="str">
        <f>IF(NOT(ISNUMBER(G$8)),G$8,IF(C124&lt;&gt;0,(E124-C124)/C124,0))</f>
        <v>---</v>
      </c>
    </row>
    <row r="125" spans="1:7" s="4" customFormat="1" ht="12.5">
      <c r="A125" s="882" t="s">
        <v>239</v>
      </c>
      <c r="B125" s="843"/>
      <c r="C125" s="857"/>
      <c r="D125" s="858"/>
      <c r="E125" s="859" t="str">
        <f>IF(NOT(ISNUMBER(G$8)),G$8,C125)</f>
        <v>---</v>
      </c>
      <c r="F125" s="860"/>
      <c r="G125" s="386" t="s">
        <v>112</v>
      </c>
    </row>
    <row r="126" spans="1:7" s="4" customFormat="1" ht="12.75" customHeight="1">
      <c r="A126" s="842" t="s">
        <v>218</v>
      </c>
      <c r="B126" s="843"/>
      <c r="C126" s="861">
        <f>IF(C125&lt;&gt;0,C122/C125,0)</f>
        <v>0</v>
      </c>
      <c r="D126" s="862"/>
      <c r="E126" s="822" t="s">
        <v>112</v>
      </c>
      <c r="F126" s="823"/>
      <c r="G126" s="386" t="s">
        <v>112</v>
      </c>
    </row>
    <row r="127" spans="1:7" s="4" customFormat="1" ht="12.75" customHeight="1">
      <c r="A127" s="842" t="s">
        <v>207</v>
      </c>
      <c r="B127" s="843"/>
      <c r="C127" s="861">
        <f>IF(C125&lt;&gt;0,C123/C125,0)</f>
        <v>0</v>
      </c>
      <c r="D127" s="862"/>
      <c r="E127" s="861" t="str">
        <f>IF(NOT(ISNUMBER(G$8)),G$8,IF(E125&lt;&gt;0,E123/E125,0))</f>
        <v>---</v>
      </c>
      <c r="F127" s="862"/>
      <c r="G127" s="386" t="s">
        <v>112</v>
      </c>
    </row>
    <row r="128" spans="1:7" s="4" customFormat="1" ht="13.5" customHeight="1" thickBot="1">
      <c r="A128" s="844" t="s">
        <v>219</v>
      </c>
      <c r="B128" s="845"/>
      <c r="C128" s="850">
        <f>IF(C125&lt;&gt;0,C124/C125,0)</f>
        <v>0</v>
      </c>
      <c r="D128" s="851"/>
      <c r="E128" s="850" t="str">
        <f>IF(NOT(ISNUMBER(G$8)),G$8,IF(E125&lt;&gt;0,E124/E125,0))</f>
        <v>---</v>
      </c>
      <c r="F128" s="851"/>
      <c r="G128" s="382" t="s">
        <v>112</v>
      </c>
    </row>
    <row r="129" spans="1:7" s="4" customFormat="1" ht="13.5" thickBot="1">
      <c r="A129" s="852"/>
      <c r="B129" s="853"/>
      <c r="C129" s="853"/>
      <c r="D129" s="853"/>
      <c r="E129" s="853"/>
      <c r="F129" s="853"/>
      <c r="G129" s="854"/>
    </row>
    <row r="130" spans="1:7" s="4" customFormat="1" ht="13">
      <c r="A130" s="96" t="s">
        <v>245</v>
      </c>
      <c r="B130" s="97" t="s">
        <v>237</v>
      </c>
      <c r="C130" s="846"/>
      <c r="D130" s="846"/>
      <c r="E130" s="846"/>
      <c r="F130" s="846"/>
      <c r="G130" s="847"/>
    </row>
    <row r="131" spans="1:7" s="4" customFormat="1" ht="12.5">
      <c r="A131" s="819" t="s">
        <v>210</v>
      </c>
      <c r="B131" s="820"/>
      <c r="C131" s="855"/>
      <c r="D131" s="856"/>
      <c r="E131" s="822" t="s">
        <v>112</v>
      </c>
      <c r="F131" s="823"/>
      <c r="G131" s="194" t="s">
        <v>112</v>
      </c>
    </row>
    <row r="132" spans="1:7" s="4" customFormat="1" ht="12.5">
      <c r="A132" s="842" t="s">
        <v>214</v>
      </c>
      <c r="B132" s="843"/>
      <c r="C132" s="836"/>
      <c r="D132" s="837"/>
      <c r="E132" s="836"/>
      <c r="F132" s="837"/>
      <c r="G132" s="389" t="str">
        <f>IF(NOT(ISNUMBER(G$8)),G$8,IF(C132&lt;&gt;0,(E132-C132)/C132,0))</f>
        <v>---</v>
      </c>
    </row>
    <row r="133" spans="1:7" s="4" customFormat="1" ht="12.5">
      <c r="A133" s="842" t="s">
        <v>238</v>
      </c>
      <c r="B133" s="843"/>
      <c r="C133" s="848"/>
      <c r="D133" s="849"/>
      <c r="E133" s="836"/>
      <c r="F133" s="837"/>
      <c r="G133" s="389" t="str">
        <f>IF(NOT(ISNUMBER(G$8)),G$8,IF(C133&lt;&gt;0,(E133-C133)/C133,0))</f>
        <v>---</v>
      </c>
    </row>
    <row r="134" spans="1:7" s="4" customFormat="1" ht="12.5">
      <c r="A134" s="882" t="s">
        <v>239</v>
      </c>
      <c r="B134" s="843"/>
      <c r="C134" s="857"/>
      <c r="D134" s="858"/>
      <c r="E134" s="859" t="str">
        <f>IF(NOT(ISNUMBER(G$8)),G$8,C134)</f>
        <v>---</v>
      </c>
      <c r="F134" s="860"/>
      <c r="G134" s="386" t="s">
        <v>112</v>
      </c>
    </row>
    <row r="135" spans="1:7" s="4" customFormat="1" ht="12.75" customHeight="1">
      <c r="A135" s="842" t="s">
        <v>218</v>
      </c>
      <c r="B135" s="843"/>
      <c r="C135" s="861">
        <f>IF(C134&lt;&gt;0,C131/C134,0)</f>
        <v>0</v>
      </c>
      <c r="D135" s="862"/>
      <c r="E135" s="822" t="s">
        <v>112</v>
      </c>
      <c r="F135" s="823"/>
      <c r="G135" s="386" t="s">
        <v>112</v>
      </c>
    </row>
    <row r="136" spans="1:7" s="4" customFormat="1" ht="12.75" customHeight="1">
      <c r="A136" s="842" t="s">
        <v>207</v>
      </c>
      <c r="B136" s="843"/>
      <c r="C136" s="861">
        <f>IF(C134&lt;&gt;0,C132/C134,0)</f>
        <v>0</v>
      </c>
      <c r="D136" s="862"/>
      <c r="E136" s="861" t="str">
        <f>IF(NOT(ISNUMBER(G$8)),G$8,IF(E134&lt;&gt;0,E132/E134,0))</f>
        <v>---</v>
      </c>
      <c r="F136" s="862"/>
      <c r="G136" s="386" t="s">
        <v>112</v>
      </c>
    </row>
    <row r="137" spans="1:7" s="4" customFormat="1" ht="13.5" customHeight="1" thickBot="1">
      <c r="A137" s="844" t="s">
        <v>219</v>
      </c>
      <c r="B137" s="845"/>
      <c r="C137" s="850">
        <f>IF(C134&lt;&gt;0,C133/C134,0)</f>
        <v>0</v>
      </c>
      <c r="D137" s="851"/>
      <c r="E137" s="850" t="str">
        <f>IF(NOT(ISNUMBER(G$8)),G$8,IF(E134&lt;&gt;0,E133/E134,0))</f>
        <v>---</v>
      </c>
      <c r="F137" s="851"/>
      <c r="G137" s="382" t="s">
        <v>112</v>
      </c>
    </row>
    <row r="138" spans="1:7" s="4" customFormat="1" ht="13.5" thickBot="1">
      <c r="A138" s="883"/>
      <c r="B138" s="883"/>
      <c r="C138" s="883"/>
      <c r="D138" s="883"/>
      <c r="E138" s="883"/>
      <c r="F138" s="883"/>
      <c r="G138" s="883"/>
    </row>
    <row r="139" spans="1:7" s="3" customFormat="1" ht="18.5" thickBot="1">
      <c r="A139" s="648" t="s">
        <v>246</v>
      </c>
      <c r="B139" s="649"/>
      <c r="C139" s="649"/>
      <c r="D139" s="649"/>
      <c r="E139" s="649"/>
      <c r="F139" s="649"/>
      <c r="G139" s="650"/>
    </row>
    <row r="140" spans="1:7" s="4" customFormat="1" ht="13.5" thickBot="1">
      <c r="A140" s="343"/>
      <c r="B140" s="344"/>
      <c r="C140" s="663" t="s">
        <v>33</v>
      </c>
      <c r="D140" s="665"/>
      <c r="E140" s="663" t="s">
        <v>235</v>
      </c>
      <c r="F140" s="665"/>
      <c r="G140" s="95" t="s">
        <v>196</v>
      </c>
    </row>
    <row r="141" spans="1:7" s="4" customFormat="1" ht="13.5" thickBot="1">
      <c r="A141" s="852"/>
      <c r="B141" s="853"/>
      <c r="C141" s="853"/>
      <c r="D141" s="853"/>
      <c r="E141" s="853"/>
      <c r="F141" s="853"/>
      <c r="G141" s="854"/>
    </row>
    <row r="142" spans="1:7" s="4" customFormat="1" ht="13">
      <c r="A142" s="96" t="s">
        <v>247</v>
      </c>
      <c r="B142" s="97" t="s">
        <v>237</v>
      </c>
      <c r="C142" s="846"/>
      <c r="D142" s="846"/>
      <c r="E142" s="846"/>
      <c r="F142" s="846"/>
      <c r="G142" s="847"/>
    </row>
    <row r="143" spans="1:7" s="4" customFormat="1" ht="12.5">
      <c r="A143" s="819" t="s">
        <v>210</v>
      </c>
      <c r="B143" s="820"/>
      <c r="C143" s="855"/>
      <c r="D143" s="856"/>
      <c r="E143" s="822" t="s">
        <v>112</v>
      </c>
      <c r="F143" s="823"/>
      <c r="G143" s="194" t="s">
        <v>112</v>
      </c>
    </row>
    <row r="144" spans="1:7" s="4" customFormat="1" ht="12.5">
      <c r="A144" s="842" t="s">
        <v>214</v>
      </c>
      <c r="B144" s="843"/>
      <c r="C144" s="836"/>
      <c r="D144" s="837"/>
      <c r="E144" s="836"/>
      <c r="F144" s="837"/>
      <c r="G144" s="389" t="str">
        <f>IF(NOT(ISNUMBER(G$8)),G$8,IF(C144&lt;&gt;0,(E144-C144)/C144,0))</f>
        <v>---</v>
      </c>
    </row>
    <row r="145" spans="1:7" s="4" customFormat="1" ht="12.5">
      <c r="A145" s="842" t="s">
        <v>238</v>
      </c>
      <c r="B145" s="843"/>
      <c r="C145" s="848"/>
      <c r="D145" s="849"/>
      <c r="E145" s="836"/>
      <c r="F145" s="837"/>
      <c r="G145" s="389" t="str">
        <f>IF(NOT(ISNUMBER(G$8)),G$8,IF(C145&lt;&gt;0,(E145-C145)/C145,0))</f>
        <v>---</v>
      </c>
    </row>
    <row r="146" spans="1:7" s="4" customFormat="1" ht="12.5">
      <c r="A146" s="882" t="s">
        <v>239</v>
      </c>
      <c r="B146" s="843"/>
      <c r="C146" s="857"/>
      <c r="D146" s="858"/>
      <c r="E146" s="859" t="str">
        <f>IF(NOT(ISNUMBER(G$8)),G$8,C146)</f>
        <v>---</v>
      </c>
      <c r="F146" s="860"/>
      <c r="G146" s="386" t="s">
        <v>112</v>
      </c>
    </row>
    <row r="147" spans="1:7" s="4" customFormat="1" ht="12.75" customHeight="1">
      <c r="A147" s="842" t="s">
        <v>218</v>
      </c>
      <c r="B147" s="843"/>
      <c r="C147" s="861">
        <f>IF(C146&lt;&gt;0,C143/C146,0)</f>
        <v>0</v>
      </c>
      <c r="D147" s="862"/>
      <c r="E147" s="822" t="s">
        <v>112</v>
      </c>
      <c r="F147" s="823"/>
      <c r="G147" s="386" t="s">
        <v>112</v>
      </c>
    </row>
    <row r="148" spans="1:7" s="4" customFormat="1" ht="12.75" customHeight="1">
      <c r="A148" s="842" t="s">
        <v>207</v>
      </c>
      <c r="B148" s="843"/>
      <c r="C148" s="861">
        <f>IF(C146&lt;&gt;0,C144/C146,0)</f>
        <v>0</v>
      </c>
      <c r="D148" s="862"/>
      <c r="E148" s="861" t="str">
        <f>IF(NOT(ISNUMBER(G$8)),G$8,IF(E146&lt;&gt;0,E144/E146,0))</f>
        <v>---</v>
      </c>
      <c r="F148" s="862"/>
      <c r="G148" s="386" t="s">
        <v>112</v>
      </c>
    </row>
    <row r="149" spans="1:7" s="4" customFormat="1" ht="13.5" customHeight="1" thickBot="1">
      <c r="A149" s="844" t="s">
        <v>219</v>
      </c>
      <c r="B149" s="845"/>
      <c r="C149" s="850">
        <f>IF(C146&lt;&gt;0,C145/C146,0)</f>
        <v>0</v>
      </c>
      <c r="D149" s="851"/>
      <c r="E149" s="850" t="str">
        <f>IF(NOT(ISNUMBER(G$8)),G$8,IF(E146&lt;&gt;0,E145/E146,0))</f>
        <v>---</v>
      </c>
      <c r="F149" s="851"/>
      <c r="G149" s="382" t="s">
        <v>112</v>
      </c>
    </row>
    <row r="150" spans="1:7" s="4" customFormat="1" ht="13.5" thickBot="1">
      <c r="A150" s="852"/>
      <c r="B150" s="853"/>
      <c r="C150" s="853"/>
      <c r="D150" s="853"/>
      <c r="E150" s="853"/>
      <c r="F150" s="853"/>
      <c r="G150" s="854"/>
    </row>
    <row r="151" spans="1:7" s="4" customFormat="1" ht="13">
      <c r="A151" s="96" t="s">
        <v>248</v>
      </c>
      <c r="B151" s="97" t="s">
        <v>237</v>
      </c>
      <c r="C151" s="846"/>
      <c r="D151" s="846"/>
      <c r="E151" s="846"/>
      <c r="F151" s="846"/>
      <c r="G151" s="847"/>
    </row>
    <row r="152" spans="1:7" s="4" customFormat="1" ht="12.5">
      <c r="A152" s="819" t="s">
        <v>210</v>
      </c>
      <c r="B152" s="820"/>
      <c r="C152" s="855"/>
      <c r="D152" s="856"/>
      <c r="E152" s="822" t="s">
        <v>112</v>
      </c>
      <c r="F152" s="823"/>
      <c r="G152" s="194" t="s">
        <v>112</v>
      </c>
    </row>
    <row r="153" spans="1:7" s="4" customFormat="1" ht="12.5">
      <c r="A153" s="842" t="s">
        <v>214</v>
      </c>
      <c r="B153" s="843"/>
      <c r="C153" s="836"/>
      <c r="D153" s="837"/>
      <c r="E153" s="836"/>
      <c r="F153" s="837"/>
      <c r="G153" s="389" t="str">
        <f>IF(NOT(ISNUMBER(G$8)),G$8,IF(C153&lt;&gt;0,(E153-C153)/C153,0))</f>
        <v>---</v>
      </c>
    </row>
    <row r="154" spans="1:7" s="4" customFormat="1" ht="12.5">
      <c r="A154" s="842" t="s">
        <v>238</v>
      </c>
      <c r="B154" s="843"/>
      <c r="C154" s="848"/>
      <c r="D154" s="849"/>
      <c r="E154" s="836"/>
      <c r="F154" s="837"/>
      <c r="G154" s="389" t="str">
        <f>IF(NOT(ISNUMBER(G$8)),G$8,IF(C154&lt;&gt;0,(E154-C154)/C154,0))</f>
        <v>---</v>
      </c>
    </row>
    <row r="155" spans="1:7" s="4" customFormat="1" ht="12.5">
      <c r="A155" s="882" t="s">
        <v>239</v>
      </c>
      <c r="B155" s="843"/>
      <c r="C155" s="924"/>
      <c r="D155" s="925"/>
      <c r="E155" s="859" t="str">
        <f>IF(NOT(ISNUMBER(G$8)),G$8,C155)</f>
        <v>---</v>
      </c>
      <c r="F155" s="860"/>
      <c r="G155" s="386" t="s">
        <v>112</v>
      </c>
    </row>
    <row r="156" spans="1:7" s="4" customFormat="1" ht="12.75" customHeight="1">
      <c r="A156" s="842" t="s">
        <v>218</v>
      </c>
      <c r="B156" s="843"/>
      <c r="C156" s="861">
        <f>IF(C155&lt;&gt;0,C152/C155,0)</f>
        <v>0</v>
      </c>
      <c r="D156" s="862"/>
      <c r="E156" s="822" t="s">
        <v>112</v>
      </c>
      <c r="F156" s="823"/>
      <c r="G156" s="386" t="s">
        <v>112</v>
      </c>
    </row>
    <row r="157" spans="1:7" s="4" customFormat="1" ht="12.75" customHeight="1">
      <c r="A157" s="842" t="s">
        <v>207</v>
      </c>
      <c r="B157" s="843"/>
      <c r="C157" s="861">
        <f>IF(C155&lt;&gt;0,C153/C155,0)</f>
        <v>0</v>
      </c>
      <c r="D157" s="862"/>
      <c r="E157" s="861" t="str">
        <f>IF(NOT(ISNUMBER(G$8)),G$8,IF(E155&lt;&gt;0,E153/E155,0))</f>
        <v>---</v>
      </c>
      <c r="F157" s="862"/>
      <c r="G157" s="386" t="s">
        <v>112</v>
      </c>
    </row>
    <row r="158" spans="1:7" s="4" customFormat="1" ht="13.5" customHeight="1" thickBot="1">
      <c r="A158" s="844" t="s">
        <v>219</v>
      </c>
      <c r="B158" s="845"/>
      <c r="C158" s="850">
        <f>IF(C155&lt;&gt;0,C154/C155,0)</f>
        <v>0</v>
      </c>
      <c r="D158" s="851"/>
      <c r="E158" s="850" t="str">
        <f>IF(NOT(ISNUMBER(G$8)),G$8,IF(E155&lt;&gt;0,E154/E155,0))</f>
        <v>---</v>
      </c>
      <c r="F158" s="851"/>
      <c r="G158" s="382" t="s">
        <v>112</v>
      </c>
    </row>
    <row r="159" spans="1:7" s="4" customFormat="1" ht="13.5" thickBot="1">
      <c r="A159" s="852"/>
      <c r="B159" s="853"/>
      <c r="C159" s="853"/>
      <c r="D159" s="853"/>
      <c r="E159" s="853"/>
      <c r="F159" s="853"/>
      <c r="G159" s="854"/>
    </row>
    <row r="160" spans="1:7" s="4" customFormat="1" ht="13">
      <c r="A160" s="96" t="s">
        <v>249</v>
      </c>
      <c r="B160" s="97" t="s">
        <v>237</v>
      </c>
      <c r="C160" s="846"/>
      <c r="D160" s="846"/>
      <c r="E160" s="846"/>
      <c r="F160" s="846"/>
      <c r="G160" s="847"/>
    </row>
    <row r="161" spans="1:7" s="4" customFormat="1" ht="12.5">
      <c r="A161" s="819" t="s">
        <v>210</v>
      </c>
      <c r="B161" s="820"/>
      <c r="C161" s="855"/>
      <c r="D161" s="856"/>
      <c r="E161" s="822" t="s">
        <v>112</v>
      </c>
      <c r="F161" s="823"/>
      <c r="G161" s="194" t="s">
        <v>112</v>
      </c>
    </row>
    <row r="162" spans="1:7" s="4" customFormat="1" ht="12.5">
      <c r="A162" s="842" t="s">
        <v>214</v>
      </c>
      <c r="B162" s="843"/>
      <c r="C162" s="836"/>
      <c r="D162" s="837"/>
      <c r="E162" s="836"/>
      <c r="F162" s="837"/>
      <c r="G162" s="389" t="str">
        <f>IF(NOT(ISNUMBER(G$8)),G$8,IF(C162&lt;&gt;0,(E162-C162)/C162,0))</f>
        <v>---</v>
      </c>
    </row>
    <row r="163" spans="1:7" s="4" customFormat="1" ht="12.5">
      <c r="A163" s="842" t="s">
        <v>238</v>
      </c>
      <c r="B163" s="843"/>
      <c r="C163" s="848"/>
      <c r="D163" s="849"/>
      <c r="E163" s="836"/>
      <c r="F163" s="837"/>
      <c r="G163" s="389" t="str">
        <f>IF(NOT(ISNUMBER(G$8)),G$8,IF(C163&lt;&gt;0,(E163-C163)/C163,0))</f>
        <v>---</v>
      </c>
    </row>
    <row r="164" spans="1:7" s="4" customFormat="1" ht="12.5">
      <c r="A164" s="882" t="s">
        <v>239</v>
      </c>
      <c r="B164" s="843"/>
      <c r="C164" s="857"/>
      <c r="D164" s="858"/>
      <c r="E164" s="859" t="str">
        <f>IF(NOT(ISNUMBER(G$8)),G$8,C164)</f>
        <v>---</v>
      </c>
      <c r="F164" s="860"/>
      <c r="G164" s="386" t="s">
        <v>112</v>
      </c>
    </row>
    <row r="165" spans="1:7" s="4" customFormat="1" ht="12.75" customHeight="1">
      <c r="A165" s="842" t="s">
        <v>218</v>
      </c>
      <c r="B165" s="843"/>
      <c r="C165" s="861">
        <f>IF(C164&lt;&gt;0,C161/C164,0)</f>
        <v>0</v>
      </c>
      <c r="D165" s="862"/>
      <c r="E165" s="822" t="s">
        <v>112</v>
      </c>
      <c r="F165" s="823"/>
      <c r="G165" s="386" t="s">
        <v>112</v>
      </c>
    </row>
    <row r="166" spans="1:7" s="4" customFormat="1" ht="12.75" customHeight="1">
      <c r="A166" s="842" t="s">
        <v>207</v>
      </c>
      <c r="B166" s="843"/>
      <c r="C166" s="861">
        <f>IF(C164&lt;&gt;0,C162/C164,0)</f>
        <v>0</v>
      </c>
      <c r="D166" s="862"/>
      <c r="E166" s="861" t="str">
        <f>IF(NOT(ISNUMBER(G$8)),G$8,IF(E164&lt;&gt;0,E162/E164,0))</f>
        <v>---</v>
      </c>
      <c r="F166" s="862"/>
      <c r="G166" s="386" t="s">
        <v>112</v>
      </c>
    </row>
    <row r="167" spans="1:7" s="4" customFormat="1" ht="13.5" customHeight="1" thickBot="1">
      <c r="A167" s="844" t="s">
        <v>219</v>
      </c>
      <c r="B167" s="845"/>
      <c r="C167" s="850">
        <f>IF(C164&lt;&gt;0,C163/C164,0)</f>
        <v>0</v>
      </c>
      <c r="D167" s="851"/>
      <c r="E167" s="850" t="str">
        <f>IF(NOT(ISNUMBER(G$8)),G$8,IF(E164&lt;&gt;0,E163/E164,0))</f>
        <v>---</v>
      </c>
      <c r="F167" s="851"/>
      <c r="G167" s="382" t="s">
        <v>112</v>
      </c>
    </row>
    <row r="168" spans="1:7" s="4" customFormat="1" ht="13.5" thickBot="1">
      <c r="A168" s="852"/>
      <c r="B168" s="853"/>
      <c r="C168" s="853"/>
      <c r="D168" s="853"/>
      <c r="E168" s="853"/>
      <c r="F168" s="853"/>
      <c r="G168" s="854"/>
    </row>
    <row r="169" spans="1:7" s="4" customFormat="1" ht="13">
      <c r="A169" s="96" t="s">
        <v>250</v>
      </c>
      <c r="B169" s="97" t="s">
        <v>237</v>
      </c>
      <c r="C169" s="846"/>
      <c r="D169" s="846"/>
      <c r="E169" s="846"/>
      <c r="F169" s="846"/>
      <c r="G169" s="847"/>
    </row>
    <row r="170" spans="1:7" s="4" customFormat="1" ht="12.5">
      <c r="A170" s="819" t="s">
        <v>210</v>
      </c>
      <c r="B170" s="820"/>
      <c r="C170" s="855"/>
      <c r="D170" s="856"/>
      <c r="E170" s="822" t="s">
        <v>112</v>
      </c>
      <c r="F170" s="823"/>
      <c r="G170" s="194" t="s">
        <v>112</v>
      </c>
    </row>
    <row r="171" spans="1:7" s="4" customFormat="1" ht="12.5">
      <c r="A171" s="842" t="s">
        <v>214</v>
      </c>
      <c r="B171" s="843"/>
      <c r="C171" s="836"/>
      <c r="D171" s="837"/>
      <c r="E171" s="836"/>
      <c r="F171" s="837"/>
      <c r="G171" s="389" t="str">
        <f>IF(NOT(ISNUMBER(G$8)),G$8,IF(C171&lt;&gt;0,(E171-C171)/C171,0))</f>
        <v>---</v>
      </c>
    </row>
    <row r="172" spans="1:7" s="4" customFormat="1" ht="12.5">
      <c r="A172" s="842" t="s">
        <v>238</v>
      </c>
      <c r="B172" s="843"/>
      <c r="C172" s="848"/>
      <c r="D172" s="849"/>
      <c r="E172" s="836"/>
      <c r="F172" s="837"/>
      <c r="G172" s="389" t="str">
        <f>IF(NOT(ISNUMBER(G$8)),G$8,IF(C172&lt;&gt;0,(E172-C172)/C172,0))</f>
        <v>---</v>
      </c>
    </row>
    <row r="173" spans="1:7" s="4" customFormat="1" ht="12.5">
      <c r="A173" s="882" t="s">
        <v>239</v>
      </c>
      <c r="B173" s="843"/>
      <c r="C173" s="857"/>
      <c r="D173" s="858"/>
      <c r="E173" s="859" t="str">
        <f>IF(NOT(ISNUMBER(G$8)),G$8,C173)</f>
        <v>---</v>
      </c>
      <c r="F173" s="860"/>
      <c r="G173" s="386" t="s">
        <v>112</v>
      </c>
    </row>
    <row r="174" spans="1:7" s="4" customFormat="1" ht="12.75" customHeight="1">
      <c r="A174" s="842" t="s">
        <v>218</v>
      </c>
      <c r="B174" s="843"/>
      <c r="C174" s="861">
        <f>IF(C173&lt;&gt;0,C170/C173,0)</f>
        <v>0</v>
      </c>
      <c r="D174" s="862"/>
      <c r="E174" s="822" t="s">
        <v>112</v>
      </c>
      <c r="F174" s="823"/>
      <c r="G174" s="386" t="s">
        <v>112</v>
      </c>
    </row>
    <row r="175" spans="1:7" s="4" customFormat="1" ht="12.75" customHeight="1">
      <c r="A175" s="842" t="s">
        <v>207</v>
      </c>
      <c r="B175" s="843"/>
      <c r="C175" s="861">
        <f>IF(C173&lt;&gt;0,C171/C173,0)</f>
        <v>0</v>
      </c>
      <c r="D175" s="862"/>
      <c r="E175" s="861" t="str">
        <f>IF(NOT(ISNUMBER(G$8)),G$8,IF(E173&lt;&gt;0,E171/E173,0))</f>
        <v>---</v>
      </c>
      <c r="F175" s="862"/>
      <c r="G175" s="386" t="s">
        <v>112</v>
      </c>
    </row>
    <row r="176" spans="1:7" s="4" customFormat="1" ht="13.5" customHeight="1" thickBot="1">
      <c r="A176" s="844" t="s">
        <v>219</v>
      </c>
      <c r="B176" s="845"/>
      <c r="C176" s="850">
        <f>IF(C173&lt;&gt;0,C172/C173,0)</f>
        <v>0</v>
      </c>
      <c r="D176" s="851"/>
      <c r="E176" s="850" t="str">
        <f>IF(NOT(ISNUMBER(G$8)),G$8,IF(E173&lt;&gt;0,E172/E173,0))</f>
        <v>---</v>
      </c>
      <c r="F176" s="851"/>
      <c r="G176" s="382" t="s">
        <v>112</v>
      </c>
    </row>
    <row r="177" spans="1:7" s="4" customFormat="1" ht="13.5" thickBot="1">
      <c r="A177" s="852"/>
      <c r="B177" s="853"/>
      <c r="C177" s="853"/>
      <c r="D177" s="853"/>
      <c r="E177" s="853"/>
      <c r="F177" s="853"/>
      <c r="G177" s="854"/>
    </row>
    <row r="178" spans="1:7" s="4" customFormat="1" ht="13">
      <c r="A178" s="96" t="s">
        <v>251</v>
      </c>
      <c r="B178" s="97" t="s">
        <v>237</v>
      </c>
      <c r="C178" s="846"/>
      <c r="D178" s="846"/>
      <c r="E178" s="846"/>
      <c r="F178" s="846"/>
      <c r="G178" s="847"/>
    </row>
    <row r="179" spans="1:7" s="4" customFormat="1" ht="12.5">
      <c r="A179" s="819" t="s">
        <v>210</v>
      </c>
      <c r="B179" s="820"/>
      <c r="C179" s="855"/>
      <c r="D179" s="856"/>
      <c r="E179" s="822" t="s">
        <v>112</v>
      </c>
      <c r="F179" s="823"/>
      <c r="G179" s="194" t="s">
        <v>112</v>
      </c>
    </row>
    <row r="180" spans="1:7" s="4" customFormat="1" ht="12.5">
      <c r="A180" s="842" t="s">
        <v>214</v>
      </c>
      <c r="B180" s="843"/>
      <c r="C180" s="836"/>
      <c r="D180" s="837"/>
      <c r="E180" s="836"/>
      <c r="F180" s="837"/>
      <c r="G180" s="389" t="str">
        <f>IF(NOT(ISNUMBER(G$8)),G$8,IF(C180&lt;&gt;0,(E180-C180)/C180,0))</f>
        <v>---</v>
      </c>
    </row>
    <row r="181" spans="1:7" s="4" customFormat="1" ht="12.5">
      <c r="A181" s="842" t="s">
        <v>238</v>
      </c>
      <c r="B181" s="843"/>
      <c r="C181" s="848"/>
      <c r="D181" s="849"/>
      <c r="E181" s="836"/>
      <c r="F181" s="837"/>
      <c r="G181" s="389" t="str">
        <f>IF(NOT(ISNUMBER(G$8)),G$8,IF(C181&lt;&gt;0,(E181-C181)/C181,0))</f>
        <v>---</v>
      </c>
    </row>
    <row r="182" spans="1:7" s="4" customFormat="1" ht="12.5">
      <c r="A182" s="882" t="s">
        <v>239</v>
      </c>
      <c r="B182" s="843"/>
      <c r="C182" s="857"/>
      <c r="D182" s="858"/>
      <c r="E182" s="859" t="str">
        <f>IF(NOT(ISNUMBER(G$8)),G$8,C182)</f>
        <v>---</v>
      </c>
      <c r="F182" s="860"/>
      <c r="G182" s="386" t="s">
        <v>112</v>
      </c>
    </row>
    <row r="183" spans="1:7" s="4" customFormat="1" ht="12.75" customHeight="1">
      <c r="A183" s="842" t="s">
        <v>218</v>
      </c>
      <c r="B183" s="843"/>
      <c r="C183" s="861">
        <f>IF(C182&lt;&gt;0,C179/C182,0)</f>
        <v>0</v>
      </c>
      <c r="D183" s="862"/>
      <c r="E183" s="822" t="s">
        <v>112</v>
      </c>
      <c r="F183" s="823"/>
      <c r="G183" s="386" t="s">
        <v>112</v>
      </c>
    </row>
    <row r="184" spans="1:7" s="4" customFormat="1" ht="12.75" customHeight="1">
      <c r="A184" s="842" t="s">
        <v>207</v>
      </c>
      <c r="B184" s="843"/>
      <c r="C184" s="861">
        <f>IF(C182&lt;&gt;0,C180/C182,0)</f>
        <v>0</v>
      </c>
      <c r="D184" s="862"/>
      <c r="E184" s="861" t="str">
        <f>IF(NOT(ISNUMBER(G$8)),G$8,IF(E182&lt;&gt;0,E180/E182,0))</f>
        <v>---</v>
      </c>
      <c r="F184" s="862"/>
      <c r="G184" s="386" t="s">
        <v>112</v>
      </c>
    </row>
    <row r="185" spans="1:7" s="4" customFormat="1" ht="13.5" customHeight="1" thickBot="1">
      <c r="A185" s="844" t="s">
        <v>219</v>
      </c>
      <c r="B185" s="845"/>
      <c r="C185" s="850">
        <f>IF(C182&lt;&gt;0,C181/C182,0)</f>
        <v>0</v>
      </c>
      <c r="D185" s="851"/>
      <c r="E185" s="850" t="str">
        <f>IF(NOT(ISNUMBER(G$8)),G$8,IF(E182&lt;&gt;0,E181/E182,0))</f>
        <v>---</v>
      </c>
      <c r="F185" s="851"/>
      <c r="G185" s="382" t="s">
        <v>112</v>
      </c>
    </row>
    <row r="186" spans="1:7" s="4" customFormat="1" ht="13.5" thickBot="1">
      <c r="A186" s="98"/>
      <c r="B186" s="99"/>
      <c r="C186" s="390"/>
      <c r="D186" s="390"/>
      <c r="E186" s="390"/>
      <c r="F186" s="390"/>
      <c r="G186" s="391"/>
    </row>
    <row r="187" spans="1:7" s="4" customFormat="1" ht="13">
      <c r="A187" s="96" t="s">
        <v>252</v>
      </c>
      <c r="B187" s="97" t="s">
        <v>237</v>
      </c>
      <c r="C187" s="846"/>
      <c r="D187" s="846"/>
      <c r="E187" s="846"/>
      <c r="F187" s="846"/>
      <c r="G187" s="847"/>
    </row>
    <row r="188" spans="1:7" s="4" customFormat="1" ht="12.5">
      <c r="A188" s="819" t="s">
        <v>210</v>
      </c>
      <c r="B188" s="820"/>
      <c r="C188" s="855"/>
      <c r="D188" s="856"/>
      <c r="E188" s="822" t="s">
        <v>112</v>
      </c>
      <c r="F188" s="823"/>
      <c r="G188" s="194" t="s">
        <v>112</v>
      </c>
    </row>
    <row r="189" spans="1:7" s="4" customFormat="1" ht="12.5">
      <c r="A189" s="842" t="s">
        <v>214</v>
      </c>
      <c r="B189" s="843"/>
      <c r="C189" s="836"/>
      <c r="D189" s="837"/>
      <c r="E189" s="836"/>
      <c r="F189" s="837"/>
      <c r="G189" s="389" t="str">
        <f>IF(NOT(ISNUMBER(G$8)),G$8,IF(C189&lt;&gt;0,(E189-C189)/C189,0))</f>
        <v>---</v>
      </c>
    </row>
    <row r="190" spans="1:7" s="4" customFormat="1" ht="12.5">
      <c r="A190" s="842" t="s">
        <v>238</v>
      </c>
      <c r="B190" s="843"/>
      <c r="C190" s="848"/>
      <c r="D190" s="849"/>
      <c r="E190" s="836"/>
      <c r="F190" s="837"/>
      <c r="G190" s="389" t="str">
        <f>IF(NOT(ISNUMBER(G$8)),G$8,IF(C190&lt;&gt;0,(E190-C190)/C190,0))</f>
        <v>---</v>
      </c>
    </row>
    <row r="191" spans="1:7" s="4" customFormat="1" ht="12.5">
      <c r="A191" s="882" t="s">
        <v>239</v>
      </c>
      <c r="B191" s="843"/>
      <c r="C191" s="857"/>
      <c r="D191" s="858"/>
      <c r="E191" s="859" t="str">
        <f>IF(NOT(ISNUMBER(G$8)),G$8,C191)</f>
        <v>---</v>
      </c>
      <c r="F191" s="860"/>
      <c r="G191" s="386" t="s">
        <v>112</v>
      </c>
    </row>
    <row r="192" spans="1:7" s="4" customFormat="1" ht="12.75" customHeight="1">
      <c r="A192" s="842" t="s">
        <v>218</v>
      </c>
      <c r="B192" s="843"/>
      <c r="C192" s="861">
        <f>IF(C191&lt;&gt;0,C188/C191,0)</f>
        <v>0</v>
      </c>
      <c r="D192" s="862"/>
      <c r="E192" s="822" t="s">
        <v>112</v>
      </c>
      <c r="F192" s="823"/>
      <c r="G192" s="386" t="s">
        <v>112</v>
      </c>
    </row>
    <row r="193" spans="1:7" s="4" customFormat="1" ht="12.75" customHeight="1">
      <c r="A193" s="842" t="s">
        <v>207</v>
      </c>
      <c r="B193" s="843"/>
      <c r="C193" s="861">
        <f>IF(C191&lt;&gt;0,C189/C191,0)</f>
        <v>0</v>
      </c>
      <c r="D193" s="862"/>
      <c r="E193" s="861" t="str">
        <f>IF(NOT(ISNUMBER(G$8)),G$8,IF(E191&lt;&gt;0,E189/E191,0))</f>
        <v>---</v>
      </c>
      <c r="F193" s="862"/>
      <c r="G193" s="386" t="s">
        <v>112</v>
      </c>
    </row>
    <row r="194" spans="1:7" s="4" customFormat="1" ht="13.5" customHeight="1" thickBot="1">
      <c r="A194" s="844" t="s">
        <v>219</v>
      </c>
      <c r="B194" s="845"/>
      <c r="C194" s="850">
        <f>IF(C191&lt;&gt;0,C190/C191,0)</f>
        <v>0</v>
      </c>
      <c r="D194" s="851"/>
      <c r="E194" s="850" t="str">
        <f>IF(NOT(ISNUMBER(G$8)),G$8,IF(E191&lt;&gt;0,E190/E191,0))</f>
        <v>---</v>
      </c>
      <c r="F194" s="851"/>
      <c r="G194" s="382" t="s">
        <v>112</v>
      </c>
    </row>
    <row r="195" spans="1:7" s="4" customFormat="1" ht="13.5" thickBot="1">
      <c r="A195" s="98"/>
      <c r="B195" s="99"/>
      <c r="C195" s="390"/>
      <c r="D195" s="390"/>
      <c r="E195" s="390"/>
      <c r="F195" s="390"/>
      <c r="G195" s="391"/>
    </row>
    <row r="196" spans="1:7" s="4" customFormat="1" ht="13">
      <c r="A196" s="96" t="s">
        <v>253</v>
      </c>
      <c r="B196" s="97" t="s">
        <v>237</v>
      </c>
      <c r="C196" s="846"/>
      <c r="D196" s="846"/>
      <c r="E196" s="846"/>
      <c r="F196" s="846"/>
      <c r="G196" s="847"/>
    </row>
    <row r="197" spans="1:7" s="4" customFormat="1" ht="12.5">
      <c r="A197" s="819" t="s">
        <v>210</v>
      </c>
      <c r="B197" s="820"/>
      <c r="C197" s="855"/>
      <c r="D197" s="856"/>
      <c r="E197" s="822" t="s">
        <v>112</v>
      </c>
      <c r="F197" s="823"/>
      <c r="G197" s="194" t="s">
        <v>112</v>
      </c>
    </row>
    <row r="198" spans="1:7" s="4" customFormat="1" ht="12.5">
      <c r="A198" s="842" t="s">
        <v>214</v>
      </c>
      <c r="B198" s="843"/>
      <c r="C198" s="836"/>
      <c r="D198" s="837"/>
      <c r="E198" s="836"/>
      <c r="F198" s="837"/>
      <c r="G198" s="389" t="str">
        <f>IF(NOT(ISNUMBER(G$8)),G$8,IF(C198&lt;&gt;0,(E198-C198)/C198,0))</f>
        <v>---</v>
      </c>
    </row>
    <row r="199" spans="1:7" s="4" customFormat="1" ht="12.5">
      <c r="A199" s="842" t="s">
        <v>238</v>
      </c>
      <c r="B199" s="843"/>
      <c r="C199" s="848"/>
      <c r="D199" s="849"/>
      <c r="E199" s="836"/>
      <c r="F199" s="837"/>
      <c r="G199" s="389" t="str">
        <f>IF(NOT(ISNUMBER(G$8)),G$8,IF(C199&lt;&gt;0,(E199-C199)/C199,0))</f>
        <v>---</v>
      </c>
    </row>
    <row r="200" spans="1:7" s="4" customFormat="1" ht="12.5">
      <c r="A200" s="882" t="s">
        <v>239</v>
      </c>
      <c r="B200" s="843"/>
      <c r="C200" s="857"/>
      <c r="D200" s="858"/>
      <c r="E200" s="859" t="str">
        <f>IF(NOT(ISNUMBER(G$8)),G$8,C200)</f>
        <v>---</v>
      </c>
      <c r="F200" s="860"/>
      <c r="G200" s="386" t="s">
        <v>112</v>
      </c>
    </row>
    <row r="201" spans="1:7" s="4" customFormat="1" ht="12.75" customHeight="1">
      <c r="A201" s="842" t="s">
        <v>218</v>
      </c>
      <c r="B201" s="843"/>
      <c r="C201" s="861">
        <f>IF(C200&lt;&gt;0,C197/C200,0)</f>
        <v>0</v>
      </c>
      <c r="D201" s="862"/>
      <c r="E201" s="822" t="s">
        <v>112</v>
      </c>
      <c r="F201" s="823"/>
      <c r="G201" s="386" t="s">
        <v>112</v>
      </c>
    </row>
    <row r="202" spans="1:7" s="4" customFormat="1" ht="12.75" customHeight="1">
      <c r="A202" s="842" t="s">
        <v>207</v>
      </c>
      <c r="B202" s="843"/>
      <c r="C202" s="861">
        <f>IF(C200&lt;&gt;0,C198/C200,0)</f>
        <v>0</v>
      </c>
      <c r="D202" s="862"/>
      <c r="E202" s="861" t="str">
        <f>IF(NOT(ISNUMBER(G$8)),G$8,IF(E200&lt;&gt;0,E198/E200,0))</f>
        <v>---</v>
      </c>
      <c r="F202" s="862"/>
      <c r="G202" s="386" t="s">
        <v>112</v>
      </c>
    </row>
    <row r="203" spans="1:7" s="4" customFormat="1" ht="13.5" customHeight="1" thickBot="1">
      <c r="A203" s="844" t="s">
        <v>219</v>
      </c>
      <c r="B203" s="845"/>
      <c r="C203" s="850">
        <f>IF(C200&lt;&gt;0,C199/C200,0)</f>
        <v>0</v>
      </c>
      <c r="D203" s="851"/>
      <c r="E203" s="850" t="str">
        <f>IF(NOT(ISNUMBER(G$8)),G$8,IF(E200&lt;&gt;0,E199/E200,0))</f>
        <v>---</v>
      </c>
      <c r="F203" s="851"/>
      <c r="G203" s="382" t="s">
        <v>112</v>
      </c>
    </row>
    <row r="204" spans="1:7" s="4" customFormat="1" ht="13.5" thickBot="1">
      <c r="A204" s="883"/>
      <c r="B204" s="883"/>
      <c r="C204" s="883"/>
      <c r="D204" s="883"/>
      <c r="E204" s="883"/>
      <c r="F204" s="883"/>
      <c r="G204" s="883"/>
    </row>
    <row r="205" spans="1:7" s="3" customFormat="1" ht="18.5" thickBot="1">
      <c r="A205" s="648" t="s">
        <v>254</v>
      </c>
      <c r="B205" s="649"/>
      <c r="C205" s="649"/>
      <c r="D205" s="649"/>
      <c r="E205" s="649"/>
      <c r="F205" s="649"/>
      <c r="G205" s="650"/>
    </row>
    <row r="206" spans="1:7" s="4" customFormat="1" ht="13.5" thickBot="1">
      <c r="A206" s="343"/>
      <c r="B206" s="344"/>
      <c r="C206" s="663" t="s">
        <v>33</v>
      </c>
      <c r="D206" s="665"/>
      <c r="E206" s="663" t="s">
        <v>235</v>
      </c>
      <c r="F206" s="665"/>
      <c r="G206" s="95" t="s">
        <v>196</v>
      </c>
    </row>
    <row r="207" spans="1:7" s="4" customFormat="1" ht="13.5" thickBot="1">
      <c r="A207" s="852"/>
      <c r="B207" s="853"/>
      <c r="C207" s="853"/>
      <c r="D207" s="853"/>
      <c r="E207" s="853"/>
      <c r="F207" s="853"/>
      <c r="G207" s="854"/>
    </row>
    <row r="208" spans="1:7" s="4" customFormat="1" ht="13">
      <c r="A208" s="96" t="s">
        <v>255</v>
      </c>
      <c r="B208" s="97" t="s">
        <v>237</v>
      </c>
      <c r="C208" s="846"/>
      <c r="D208" s="846"/>
      <c r="E208" s="846"/>
      <c r="F208" s="846"/>
      <c r="G208" s="847"/>
    </row>
    <row r="209" spans="1:7" s="4" customFormat="1" ht="12.5">
      <c r="A209" s="819" t="s">
        <v>210</v>
      </c>
      <c r="B209" s="820"/>
      <c r="C209" s="855"/>
      <c r="D209" s="856"/>
      <c r="E209" s="822" t="s">
        <v>112</v>
      </c>
      <c r="F209" s="823"/>
      <c r="G209" s="194" t="s">
        <v>112</v>
      </c>
    </row>
    <row r="210" spans="1:7" s="4" customFormat="1" ht="12.5">
      <c r="A210" s="842" t="s">
        <v>214</v>
      </c>
      <c r="B210" s="843"/>
      <c r="C210" s="836"/>
      <c r="D210" s="837"/>
      <c r="E210" s="836"/>
      <c r="F210" s="837"/>
      <c r="G210" s="389" t="str">
        <f>IF(NOT(ISNUMBER(G$8)),G$8,IF(C210&lt;&gt;0,(E210-C210)/C210,0))</f>
        <v>---</v>
      </c>
    </row>
    <row r="211" spans="1:7" s="4" customFormat="1" ht="12.5">
      <c r="A211" s="842" t="s">
        <v>238</v>
      </c>
      <c r="B211" s="843"/>
      <c r="C211" s="848"/>
      <c r="D211" s="849"/>
      <c r="E211" s="836"/>
      <c r="F211" s="837"/>
      <c r="G211" s="389" t="str">
        <f>IF(NOT(ISNUMBER(G$8)),G$8,IF(C211&lt;&gt;0,(E211-C211)/C211,0))</f>
        <v>---</v>
      </c>
    </row>
    <row r="212" spans="1:7" s="4" customFormat="1" ht="12.5">
      <c r="A212" s="882" t="s">
        <v>239</v>
      </c>
      <c r="B212" s="843"/>
      <c r="C212" s="857"/>
      <c r="D212" s="858"/>
      <c r="E212" s="859" t="str">
        <f>IF(NOT(ISNUMBER(G$8)),G$8,C212)</f>
        <v>---</v>
      </c>
      <c r="F212" s="860"/>
      <c r="G212" s="386" t="s">
        <v>112</v>
      </c>
    </row>
    <row r="213" spans="1:7" s="4" customFormat="1" ht="12.75" customHeight="1">
      <c r="A213" s="842" t="s">
        <v>218</v>
      </c>
      <c r="B213" s="843"/>
      <c r="C213" s="861">
        <f>IF(C212&lt;&gt;0,C209/C212,0)</f>
        <v>0</v>
      </c>
      <c r="D213" s="862"/>
      <c r="E213" s="822" t="s">
        <v>112</v>
      </c>
      <c r="F213" s="823"/>
      <c r="G213" s="386" t="s">
        <v>112</v>
      </c>
    </row>
    <row r="214" spans="1:7" s="4" customFormat="1" ht="12.75" customHeight="1">
      <c r="A214" s="842" t="s">
        <v>207</v>
      </c>
      <c r="B214" s="843"/>
      <c r="C214" s="861">
        <f>IF(C212&lt;&gt;0,C210/C212,0)</f>
        <v>0</v>
      </c>
      <c r="D214" s="862"/>
      <c r="E214" s="861" t="str">
        <f>IF(NOT(ISNUMBER(G$8)),G$8,IF(E212&lt;&gt;0,E210/E212,0))</f>
        <v>---</v>
      </c>
      <c r="F214" s="862"/>
      <c r="G214" s="386" t="s">
        <v>112</v>
      </c>
    </row>
    <row r="215" spans="1:7" s="4" customFormat="1" ht="13.5" customHeight="1" thickBot="1">
      <c r="A215" s="844" t="s">
        <v>219</v>
      </c>
      <c r="B215" s="845"/>
      <c r="C215" s="850">
        <f>IF(C212&lt;&gt;0,C211/C212,0)</f>
        <v>0</v>
      </c>
      <c r="D215" s="851"/>
      <c r="E215" s="850" t="str">
        <f>IF(NOT(ISNUMBER(G$8)),G$8,IF(E212&lt;&gt;0,E211/E212,0))</f>
        <v>---</v>
      </c>
      <c r="F215" s="851"/>
      <c r="G215" s="382" t="s">
        <v>112</v>
      </c>
    </row>
    <row r="216" spans="1:7" s="4" customFormat="1" ht="13.5" thickBot="1">
      <c r="A216" s="852"/>
      <c r="B216" s="853"/>
      <c r="C216" s="853"/>
      <c r="D216" s="853"/>
      <c r="E216" s="853"/>
      <c r="F216" s="853"/>
      <c r="G216" s="854"/>
    </row>
    <row r="217" spans="1:7" s="4" customFormat="1" ht="13">
      <c r="A217" s="96" t="s">
        <v>256</v>
      </c>
      <c r="B217" s="97" t="s">
        <v>237</v>
      </c>
      <c r="C217" s="846"/>
      <c r="D217" s="846"/>
      <c r="E217" s="846"/>
      <c r="F217" s="846"/>
      <c r="G217" s="847"/>
    </row>
    <row r="218" spans="1:7" s="4" customFormat="1" ht="12.5">
      <c r="A218" s="819" t="s">
        <v>210</v>
      </c>
      <c r="B218" s="820"/>
      <c r="C218" s="855"/>
      <c r="D218" s="856"/>
      <c r="E218" s="822" t="s">
        <v>112</v>
      </c>
      <c r="F218" s="823"/>
      <c r="G218" s="194" t="s">
        <v>112</v>
      </c>
    </row>
    <row r="219" spans="1:7" s="4" customFormat="1" ht="12.5">
      <c r="A219" s="842" t="s">
        <v>214</v>
      </c>
      <c r="B219" s="843"/>
      <c r="C219" s="836"/>
      <c r="D219" s="837"/>
      <c r="E219" s="836"/>
      <c r="F219" s="837"/>
      <c r="G219" s="389" t="str">
        <f>IF(NOT(ISNUMBER(G$8)),G$8,IF(C219&lt;&gt;0,(E219-C219)/C219,0))</f>
        <v>---</v>
      </c>
    </row>
    <row r="220" spans="1:7" s="4" customFormat="1" ht="12.5">
      <c r="A220" s="842" t="s">
        <v>238</v>
      </c>
      <c r="B220" s="843"/>
      <c r="C220" s="848"/>
      <c r="D220" s="849"/>
      <c r="E220" s="836"/>
      <c r="F220" s="837"/>
      <c r="G220" s="389" t="str">
        <f>IF(NOT(ISNUMBER(G$8)),G$8,IF(C220&lt;&gt;0,(E220-C220)/C220,0))</f>
        <v>---</v>
      </c>
    </row>
    <row r="221" spans="1:7" s="4" customFormat="1" ht="12.5">
      <c r="A221" s="882" t="s">
        <v>239</v>
      </c>
      <c r="B221" s="843"/>
      <c r="C221" s="857"/>
      <c r="D221" s="858"/>
      <c r="E221" s="859" t="str">
        <f>IF(NOT(ISNUMBER(G$8)),G$8,C221)</f>
        <v>---</v>
      </c>
      <c r="F221" s="860"/>
      <c r="G221" s="386" t="s">
        <v>112</v>
      </c>
    </row>
    <row r="222" spans="1:7" s="4" customFormat="1" ht="12.75" customHeight="1">
      <c r="A222" s="842" t="s">
        <v>218</v>
      </c>
      <c r="B222" s="843"/>
      <c r="C222" s="861">
        <f>IF(C221&lt;&gt;0,C218/C221,0)</f>
        <v>0</v>
      </c>
      <c r="D222" s="862"/>
      <c r="E222" s="822" t="s">
        <v>112</v>
      </c>
      <c r="F222" s="823"/>
      <c r="G222" s="386" t="s">
        <v>112</v>
      </c>
    </row>
    <row r="223" spans="1:7" s="4" customFormat="1" ht="12.75" customHeight="1">
      <c r="A223" s="842" t="s">
        <v>207</v>
      </c>
      <c r="B223" s="843"/>
      <c r="C223" s="861">
        <f>IF(C221&lt;&gt;0,C219/C221,0)</f>
        <v>0</v>
      </c>
      <c r="D223" s="862"/>
      <c r="E223" s="861" t="str">
        <f>IF(NOT(ISNUMBER(G$8)),G$8,IF(E221&lt;&gt;0,E219/E221,0))</f>
        <v>---</v>
      </c>
      <c r="F223" s="862"/>
      <c r="G223" s="386" t="s">
        <v>112</v>
      </c>
    </row>
    <row r="224" spans="1:7" s="4" customFormat="1" ht="13.5" customHeight="1" thickBot="1">
      <c r="A224" s="844" t="s">
        <v>219</v>
      </c>
      <c r="B224" s="845"/>
      <c r="C224" s="850">
        <f>IF(C221&lt;&gt;0,C220/C221,0)</f>
        <v>0</v>
      </c>
      <c r="D224" s="851"/>
      <c r="E224" s="850" t="str">
        <f>IF(NOT(ISNUMBER(G$8)),G$8,IF(E221&lt;&gt;0,E220/E221,0))</f>
        <v>---</v>
      </c>
      <c r="F224" s="851"/>
      <c r="G224" s="382" t="s">
        <v>112</v>
      </c>
    </row>
    <row r="225" spans="1:7" s="4" customFormat="1" ht="13.5" thickBot="1">
      <c r="A225" s="852"/>
      <c r="B225" s="853"/>
      <c r="C225" s="853"/>
      <c r="D225" s="853"/>
      <c r="E225" s="853"/>
      <c r="F225" s="853"/>
      <c r="G225" s="854"/>
    </row>
    <row r="226" spans="1:7" s="4" customFormat="1" ht="13">
      <c r="A226" s="96" t="s">
        <v>257</v>
      </c>
      <c r="B226" s="97" t="s">
        <v>237</v>
      </c>
      <c r="C226" s="846"/>
      <c r="D226" s="846"/>
      <c r="E226" s="846"/>
      <c r="F226" s="846"/>
      <c r="G226" s="847"/>
    </row>
    <row r="227" spans="1:7" s="4" customFormat="1" ht="12.5">
      <c r="A227" s="819" t="s">
        <v>210</v>
      </c>
      <c r="B227" s="820"/>
      <c r="C227" s="855"/>
      <c r="D227" s="856"/>
      <c r="E227" s="822" t="s">
        <v>112</v>
      </c>
      <c r="F227" s="823"/>
      <c r="G227" s="194" t="s">
        <v>112</v>
      </c>
    </row>
    <row r="228" spans="1:7" s="4" customFormat="1" ht="12.5">
      <c r="A228" s="842" t="s">
        <v>214</v>
      </c>
      <c r="B228" s="843"/>
      <c r="C228" s="836"/>
      <c r="D228" s="837"/>
      <c r="E228" s="836"/>
      <c r="F228" s="837"/>
      <c r="G228" s="389" t="str">
        <f>IF(NOT(ISNUMBER(G$8)),G$8,IF(C228&lt;&gt;0,(E228-C228)/C228,0))</f>
        <v>---</v>
      </c>
    </row>
    <row r="229" spans="1:7" s="4" customFormat="1" ht="12.5">
      <c r="A229" s="842" t="s">
        <v>238</v>
      </c>
      <c r="B229" s="843"/>
      <c r="C229" s="848"/>
      <c r="D229" s="849"/>
      <c r="E229" s="836"/>
      <c r="F229" s="837"/>
      <c r="G229" s="389" t="str">
        <f>IF(NOT(ISNUMBER(G$8)),G$8,IF(C229&lt;&gt;0,(E229-C229)/C229,0))</f>
        <v>---</v>
      </c>
    </row>
    <row r="230" spans="1:7" s="4" customFormat="1" ht="12.5">
      <c r="A230" s="882" t="s">
        <v>239</v>
      </c>
      <c r="B230" s="843"/>
      <c r="C230" s="857"/>
      <c r="D230" s="858"/>
      <c r="E230" s="859" t="str">
        <f>IF(NOT(ISNUMBER(G$8)),G$8,C230)</f>
        <v>---</v>
      </c>
      <c r="F230" s="860"/>
      <c r="G230" s="386" t="s">
        <v>112</v>
      </c>
    </row>
    <row r="231" spans="1:7" s="4" customFormat="1" ht="12.75" customHeight="1">
      <c r="A231" s="842" t="s">
        <v>218</v>
      </c>
      <c r="B231" s="843"/>
      <c r="C231" s="861">
        <f>IF(C230&lt;&gt;0,C227/C230,0)</f>
        <v>0</v>
      </c>
      <c r="D231" s="862"/>
      <c r="E231" s="822" t="s">
        <v>112</v>
      </c>
      <c r="F231" s="823"/>
      <c r="G231" s="386" t="s">
        <v>112</v>
      </c>
    </row>
    <row r="232" spans="1:7" s="4" customFormat="1" ht="12.75" customHeight="1">
      <c r="A232" s="842" t="s">
        <v>207</v>
      </c>
      <c r="B232" s="843"/>
      <c r="C232" s="861">
        <f>IF(C230&lt;&gt;0,C228/C230,0)</f>
        <v>0</v>
      </c>
      <c r="D232" s="862"/>
      <c r="E232" s="861" t="str">
        <f>IF(NOT(ISNUMBER(G$8)),G$8,IF(E230&lt;&gt;0,E228/E230,0))</f>
        <v>---</v>
      </c>
      <c r="F232" s="862"/>
      <c r="G232" s="386" t="s">
        <v>112</v>
      </c>
    </row>
    <row r="233" spans="1:7" s="4" customFormat="1" ht="13.5" customHeight="1" thickBot="1">
      <c r="A233" s="844" t="s">
        <v>219</v>
      </c>
      <c r="B233" s="845"/>
      <c r="C233" s="850">
        <f>IF(C230&lt;&gt;0,C229/C230,0)</f>
        <v>0</v>
      </c>
      <c r="D233" s="851"/>
      <c r="E233" s="850" t="str">
        <f>IF(NOT(ISNUMBER(G$8)),G$8,IF(E230&lt;&gt;0,E229/E230,0))</f>
        <v>---</v>
      </c>
      <c r="F233" s="851"/>
      <c r="G233" s="382" t="s">
        <v>112</v>
      </c>
    </row>
    <row r="234" spans="1:7" s="4" customFormat="1" ht="13.5" thickBot="1">
      <c r="A234" s="852"/>
      <c r="B234" s="853"/>
      <c r="C234" s="853"/>
      <c r="D234" s="853"/>
      <c r="E234" s="853"/>
      <c r="F234" s="853"/>
      <c r="G234" s="854"/>
    </row>
    <row r="235" spans="1:7" s="4" customFormat="1" ht="13">
      <c r="A235" s="96" t="s">
        <v>258</v>
      </c>
      <c r="B235" s="97" t="s">
        <v>237</v>
      </c>
      <c r="C235" s="846"/>
      <c r="D235" s="846"/>
      <c r="E235" s="846"/>
      <c r="F235" s="846"/>
      <c r="G235" s="847"/>
    </row>
    <row r="236" spans="1:7" s="4" customFormat="1" ht="12.5">
      <c r="A236" s="819" t="s">
        <v>210</v>
      </c>
      <c r="B236" s="820"/>
      <c r="C236" s="855"/>
      <c r="D236" s="856"/>
      <c r="E236" s="822" t="s">
        <v>112</v>
      </c>
      <c r="F236" s="823"/>
      <c r="G236" s="194" t="s">
        <v>112</v>
      </c>
    </row>
    <row r="237" spans="1:7" s="4" customFormat="1" ht="12.5">
      <c r="A237" s="842" t="s">
        <v>214</v>
      </c>
      <c r="B237" s="843"/>
      <c r="C237" s="836"/>
      <c r="D237" s="837"/>
      <c r="E237" s="836"/>
      <c r="F237" s="837"/>
      <c r="G237" s="389" t="str">
        <f>IF(NOT(ISNUMBER(G$8)),G$8,IF(C237&lt;&gt;0,(E237-C237)/C237,0))</f>
        <v>---</v>
      </c>
    </row>
    <row r="238" spans="1:7" s="4" customFormat="1" ht="12.5">
      <c r="A238" s="842" t="s">
        <v>238</v>
      </c>
      <c r="B238" s="843"/>
      <c r="C238" s="848"/>
      <c r="D238" s="849"/>
      <c r="E238" s="836"/>
      <c r="F238" s="837"/>
      <c r="G238" s="389" t="str">
        <f>IF(NOT(ISNUMBER(G$8)),G$8,IF(C238&lt;&gt;0,(E238-C238)/C238,0))</f>
        <v>---</v>
      </c>
    </row>
    <row r="239" spans="1:7" s="4" customFormat="1" ht="12.5">
      <c r="A239" s="882" t="s">
        <v>239</v>
      </c>
      <c r="B239" s="843"/>
      <c r="C239" s="857"/>
      <c r="D239" s="858"/>
      <c r="E239" s="859" t="str">
        <f>IF(NOT(ISNUMBER(G$8)),G$8,C239)</f>
        <v>---</v>
      </c>
      <c r="F239" s="860"/>
      <c r="G239" s="386" t="s">
        <v>112</v>
      </c>
    </row>
    <row r="240" spans="1:7" s="4" customFormat="1" ht="12.75" customHeight="1">
      <c r="A240" s="842" t="s">
        <v>218</v>
      </c>
      <c r="B240" s="843"/>
      <c r="C240" s="861">
        <f>IF(C239&lt;&gt;0,C236/C239,0)</f>
        <v>0</v>
      </c>
      <c r="D240" s="862"/>
      <c r="E240" s="822" t="s">
        <v>112</v>
      </c>
      <c r="F240" s="823"/>
      <c r="G240" s="386" t="s">
        <v>112</v>
      </c>
    </row>
    <row r="241" spans="1:7" s="4" customFormat="1" ht="12.75" customHeight="1">
      <c r="A241" s="842" t="s">
        <v>207</v>
      </c>
      <c r="B241" s="843"/>
      <c r="C241" s="861">
        <f>IF(C239&lt;&gt;0,C237/C239,0)</f>
        <v>0</v>
      </c>
      <c r="D241" s="862"/>
      <c r="E241" s="861" t="str">
        <f>IF(NOT(ISNUMBER(G$8)),G$8,IF(E239&lt;&gt;0,E237/E239,0))</f>
        <v>---</v>
      </c>
      <c r="F241" s="862"/>
      <c r="G241" s="386" t="s">
        <v>112</v>
      </c>
    </row>
    <row r="242" spans="1:7" s="4" customFormat="1" ht="13.5" customHeight="1" thickBot="1">
      <c r="A242" s="844" t="s">
        <v>219</v>
      </c>
      <c r="B242" s="845"/>
      <c r="C242" s="850">
        <f>IF(C239&lt;&gt;0,C238/C239,0)</f>
        <v>0</v>
      </c>
      <c r="D242" s="851"/>
      <c r="E242" s="850" t="str">
        <f>IF(NOT(ISNUMBER(G$8)),G$8,IF(E239&lt;&gt;0,E238/E239,0))</f>
        <v>---</v>
      </c>
      <c r="F242" s="851"/>
      <c r="G242" s="382" t="s">
        <v>112</v>
      </c>
    </row>
    <row r="243" spans="1:7" s="4" customFormat="1" ht="13.5" thickBot="1">
      <c r="A243" s="852"/>
      <c r="B243" s="853"/>
      <c r="C243" s="853"/>
      <c r="D243" s="853"/>
      <c r="E243" s="853"/>
      <c r="F243" s="853"/>
      <c r="G243" s="854"/>
    </row>
    <row r="244" spans="1:7" s="4" customFormat="1" ht="13">
      <c r="A244" s="96" t="s">
        <v>259</v>
      </c>
      <c r="B244" s="97" t="s">
        <v>237</v>
      </c>
      <c r="C244" s="846"/>
      <c r="D244" s="846"/>
      <c r="E244" s="846"/>
      <c r="F244" s="846"/>
      <c r="G244" s="847"/>
    </row>
    <row r="245" spans="1:7" s="4" customFormat="1" ht="12.5">
      <c r="A245" s="819" t="s">
        <v>210</v>
      </c>
      <c r="B245" s="820"/>
      <c r="C245" s="855"/>
      <c r="D245" s="856"/>
      <c r="E245" s="822" t="s">
        <v>112</v>
      </c>
      <c r="F245" s="823"/>
      <c r="G245" s="194" t="s">
        <v>112</v>
      </c>
    </row>
    <row r="246" spans="1:7" s="4" customFormat="1" ht="12.5">
      <c r="A246" s="842" t="s">
        <v>214</v>
      </c>
      <c r="B246" s="843"/>
      <c r="C246" s="836"/>
      <c r="D246" s="837"/>
      <c r="E246" s="836"/>
      <c r="F246" s="837"/>
      <c r="G246" s="389" t="str">
        <f>IF(NOT(ISNUMBER(G$8)),G$8,IF(C246&lt;&gt;0,(E246-C246)/C246,0))</f>
        <v>---</v>
      </c>
    </row>
    <row r="247" spans="1:7" s="4" customFormat="1" ht="12.5">
      <c r="A247" s="842" t="s">
        <v>238</v>
      </c>
      <c r="B247" s="843"/>
      <c r="C247" s="848"/>
      <c r="D247" s="849"/>
      <c r="E247" s="836"/>
      <c r="F247" s="837"/>
      <c r="G247" s="389" t="str">
        <f>IF(NOT(ISNUMBER(G$8)),G$8,IF(C247&lt;&gt;0,(E247-C247)/C247,0))</f>
        <v>---</v>
      </c>
    </row>
    <row r="248" spans="1:7" s="4" customFormat="1" ht="12.5">
      <c r="A248" s="882" t="s">
        <v>239</v>
      </c>
      <c r="B248" s="843"/>
      <c r="C248" s="857"/>
      <c r="D248" s="858"/>
      <c r="E248" s="859" t="str">
        <f>IF(NOT(ISNUMBER(G$8)),G$8,C248)</f>
        <v>---</v>
      </c>
      <c r="F248" s="860"/>
      <c r="G248" s="386" t="s">
        <v>112</v>
      </c>
    </row>
    <row r="249" spans="1:7" s="4" customFormat="1" ht="12.75" customHeight="1">
      <c r="A249" s="842" t="s">
        <v>218</v>
      </c>
      <c r="B249" s="843"/>
      <c r="C249" s="861">
        <f>IF(C248&lt;&gt;0,C245/C248,0)</f>
        <v>0</v>
      </c>
      <c r="D249" s="862"/>
      <c r="E249" s="822" t="s">
        <v>112</v>
      </c>
      <c r="F249" s="823"/>
      <c r="G249" s="386" t="s">
        <v>112</v>
      </c>
    </row>
    <row r="250" spans="1:7" s="4" customFormat="1" ht="12.75" customHeight="1">
      <c r="A250" s="842" t="s">
        <v>207</v>
      </c>
      <c r="B250" s="843"/>
      <c r="C250" s="861">
        <f>IF(C248&lt;&gt;0,C246/C248,0)</f>
        <v>0</v>
      </c>
      <c r="D250" s="862"/>
      <c r="E250" s="861" t="str">
        <f>IF(NOT(ISNUMBER(G$8)),G$8,IF(E248&lt;&gt;0,E246/E248,0))</f>
        <v>---</v>
      </c>
      <c r="F250" s="862"/>
      <c r="G250" s="386" t="s">
        <v>112</v>
      </c>
    </row>
    <row r="251" spans="1:7" s="4" customFormat="1" ht="13.5" customHeight="1" thickBot="1">
      <c r="A251" s="844" t="s">
        <v>219</v>
      </c>
      <c r="B251" s="845"/>
      <c r="C251" s="850">
        <f>IF(C248&lt;&gt;0,C247/C248,0)</f>
        <v>0</v>
      </c>
      <c r="D251" s="851"/>
      <c r="E251" s="850" t="str">
        <f>IF(NOT(ISNUMBER(G$8)),G$8,IF(E248&lt;&gt;0,E247/E248,0))</f>
        <v>---</v>
      </c>
      <c r="F251" s="851"/>
      <c r="G251" s="382" t="s">
        <v>112</v>
      </c>
    </row>
    <row r="252" spans="1:7" s="227" customFormat="1" ht="13.5" thickBot="1">
      <c r="A252" s="879"/>
      <c r="B252" s="880"/>
      <c r="C252" s="880"/>
      <c r="D252" s="880"/>
      <c r="E252" s="880"/>
      <c r="F252" s="880"/>
      <c r="G252" s="881"/>
    </row>
    <row r="253" spans="1:7" s="227" customFormat="1" ht="13">
      <c r="A253" s="244" t="s">
        <v>260</v>
      </c>
      <c r="B253" s="245" t="s">
        <v>237</v>
      </c>
      <c r="C253" s="846"/>
      <c r="D253" s="846"/>
      <c r="E253" s="846"/>
      <c r="F253" s="846"/>
      <c r="G253" s="847"/>
    </row>
    <row r="254" spans="1:7" s="227" customFormat="1" ht="12.5">
      <c r="A254" s="926" t="s">
        <v>210</v>
      </c>
      <c r="B254" s="927"/>
      <c r="C254" s="855"/>
      <c r="D254" s="856"/>
      <c r="E254" s="834" t="s">
        <v>112</v>
      </c>
      <c r="F254" s="835"/>
      <c r="G254" s="246" t="s">
        <v>112</v>
      </c>
    </row>
    <row r="255" spans="1:7" s="227" customFormat="1" ht="12.5">
      <c r="A255" s="830" t="s">
        <v>214</v>
      </c>
      <c r="B255" s="831"/>
      <c r="C255" s="836"/>
      <c r="D255" s="837"/>
      <c r="E255" s="836"/>
      <c r="F255" s="837"/>
      <c r="G255" s="392" t="str">
        <f>IF(NOT(ISNUMBER(G$8)),G$8,IF(C255&lt;&gt;0,(E255-C255)/C255,0))</f>
        <v>---</v>
      </c>
    </row>
    <row r="256" spans="1:7" s="227" customFormat="1" ht="12.5">
      <c r="A256" s="830" t="s">
        <v>238</v>
      </c>
      <c r="B256" s="831"/>
      <c r="C256" s="848"/>
      <c r="D256" s="849"/>
      <c r="E256" s="836"/>
      <c r="F256" s="837"/>
      <c r="G256" s="392" t="str">
        <f>IF(NOT(ISNUMBER(G$8)),G$8,IF(C256&lt;&gt;0,(E256-C256)/C256,0))</f>
        <v>---</v>
      </c>
    </row>
    <row r="257" spans="1:7" s="227" customFormat="1" ht="12.5">
      <c r="A257" s="876" t="s">
        <v>239</v>
      </c>
      <c r="B257" s="831"/>
      <c r="C257" s="857"/>
      <c r="D257" s="858"/>
      <c r="E257" s="877" t="str">
        <f>IF(NOT(ISNUMBER(G$8)),G$8,C257)</f>
        <v>---</v>
      </c>
      <c r="F257" s="878"/>
      <c r="G257" s="393" t="s">
        <v>112</v>
      </c>
    </row>
    <row r="258" spans="1:7" s="227" customFormat="1" ht="12.75" customHeight="1">
      <c r="A258" s="830" t="s">
        <v>218</v>
      </c>
      <c r="B258" s="831"/>
      <c r="C258" s="832">
        <f>IF(C257&lt;&gt;0,C254/C257,0)</f>
        <v>0</v>
      </c>
      <c r="D258" s="833"/>
      <c r="E258" s="834" t="s">
        <v>112</v>
      </c>
      <c r="F258" s="835"/>
      <c r="G258" s="393" t="s">
        <v>112</v>
      </c>
    </row>
    <row r="259" spans="1:7" s="227" customFormat="1" ht="12.75" customHeight="1">
      <c r="A259" s="830" t="s">
        <v>207</v>
      </c>
      <c r="B259" s="831"/>
      <c r="C259" s="832">
        <f>IF(C257&lt;&gt;0,C255/C257,0)</f>
        <v>0</v>
      </c>
      <c r="D259" s="833"/>
      <c r="E259" s="832" t="str">
        <f>IF(NOT(ISNUMBER(G$8)),G$8,IF(E257&lt;&gt;0,E255/E257,0))</f>
        <v>---</v>
      </c>
      <c r="F259" s="833"/>
      <c r="G259" s="393" t="s">
        <v>112</v>
      </c>
    </row>
    <row r="260" spans="1:7" s="227" customFormat="1" ht="13.5" customHeight="1" thickBot="1">
      <c r="A260" s="826" t="s">
        <v>219</v>
      </c>
      <c r="B260" s="827"/>
      <c r="C260" s="828">
        <f>IF(C257&lt;&gt;0,C256/C257,0)</f>
        <v>0</v>
      </c>
      <c r="D260" s="829"/>
      <c r="E260" s="828" t="str">
        <f>IF(NOT(ISNUMBER(G$8)),G$8,IF(E257&lt;&gt;0,E256/E257,0))</f>
        <v>---</v>
      </c>
      <c r="F260" s="829"/>
      <c r="G260" s="394" t="s">
        <v>112</v>
      </c>
    </row>
    <row r="261" spans="1:7" s="247" customFormat="1"/>
    <row r="262" spans="1:7">
      <c r="A262" s="920" t="s">
        <v>261</v>
      </c>
      <c r="B262" s="920"/>
      <c r="C262" s="920"/>
      <c r="D262" s="920"/>
      <c r="E262" s="920"/>
      <c r="F262" s="920"/>
      <c r="G262" s="920"/>
    </row>
    <row r="263" spans="1:7" ht="27" customHeight="1">
      <c r="A263" s="808" t="s">
        <v>502</v>
      </c>
      <c r="B263" s="921"/>
      <c r="C263" s="921"/>
      <c r="D263" s="921"/>
      <c r="E263" s="921"/>
      <c r="F263" s="921"/>
      <c r="G263" s="921"/>
    </row>
    <row r="264" spans="1:7" ht="41.25" customHeight="1">
      <c r="A264" s="808" t="s">
        <v>262</v>
      </c>
      <c r="B264" s="809"/>
      <c r="C264" s="809"/>
      <c r="D264" s="809"/>
      <c r="E264" s="809"/>
      <c r="F264" s="809"/>
      <c r="G264" s="809"/>
    </row>
    <row r="265" spans="1:7" ht="15.75" customHeight="1">
      <c r="A265" s="922" t="s">
        <v>263</v>
      </c>
      <c r="B265" s="922"/>
      <c r="C265" s="922"/>
      <c r="D265" s="922"/>
      <c r="E265" s="922"/>
      <c r="F265" s="922"/>
      <c r="G265" s="922"/>
    </row>
    <row r="266" spans="1:7">
      <c r="A266" s="923" t="s">
        <v>264</v>
      </c>
      <c r="B266" s="923"/>
      <c r="C266" s="923"/>
      <c r="D266" s="923"/>
      <c r="E266" s="923"/>
      <c r="F266" s="923"/>
      <c r="G266" s="923"/>
    </row>
  </sheetData>
  <sheetProtection algorithmName="SHA-512" hashValue="psBwPD9ZeUa055reGqCz1DWDgIsqdlyVZ7c1bK7JcmLsY4gICE1CQeYkY8u39WMxyXDYxu1qKfTmIZi9csu10Q==" saltValue="6DfyUim7nW1TddJ/GZhhTg==" spinCount="100000" sheet="1" formatCells="0" formatColumns="0" formatRows="0" insertColumns="0" insertRows="0" insertHyperlinks="0" selectLockedCells="1"/>
  <customSheetViews>
    <customSheetView guid="{AB5399CE-BEB7-40AA-A66C-46449E135DF8}" showGridLines="0" topLeftCell="A215">
      <selection activeCell="C8" sqref="C8:D8"/>
      <rowBreaks count="1" manualBreakCount="1">
        <brk id="153" max="6" man="1"/>
      </rowBreaks>
      <pageMargins left="0" right="0" top="0" bottom="0" header="0" footer="0"/>
      <printOptions horizontalCentered="1"/>
      <pageSetup scale="77" fitToHeight="6" orientation="portrait" r:id="rId1"/>
      <headerFooter alignWithMargins="0"/>
    </customSheetView>
  </customSheetViews>
  <mergeCells count="621">
    <mergeCell ref="E74:F74"/>
    <mergeCell ref="A48:G48"/>
    <mergeCell ref="C51:G51"/>
    <mergeCell ref="C55:G55"/>
    <mergeCell ref="C59:G59"/>
    <mergeCell ref="C63:G63"/>
    <mergeCell ref="C67:G67"/>
    <mergeCell ref="A73:G73"/>
    <mergeCell ref="A68:B68"/>
    <mergeCell ref="C68:D68"/>
    <mergeCell ref="E68:F68"/>
    <mergeCell ref="A69:B69"/>
    <mergeCell ref="C69:D69"/>
    <mergeCell ref="E69:F69"/>
    <mergeCell ref="A64:B64"/>
    <mergeCell ref="C64:D64"/>
    <mergeCell ref="E64:F64"/>
    <mergeCell ref="A65:B65"/>
    <mergeCell ref="C65:D65"/>
    <mergeCell ref="E65:F65"/>
    <mergeCell ref="E60:F60"/>
    <mergeCell ref="A61:B61"/>
    <mergeCell ref="C61:D61"/>
    <mergeCell ref="A56:B56"/>
    <mergeCell ref="A35:B35"/>
    <mergeCell ref="E40:F40"/>
    <mergeCell ref="A26:B26"/>
    <mergeCell ref="C26:D26"/>
    <mergeCell ref="E26:F26"/>
    <mergeCell ref="A27:B27"/>
    <mergeCell ref="C27:D27"/>
    <mergeCell ref="E27:F27"/>
    <mergeCell ref="A28:B28"/>
    <mergeCell ref="C28:D28"/>
    <mergeCell ref="E28:F28"/>
    <mergeCell ref="C36:D36"/>
    <mergeCell ref="A36:B36"/>
    <mergeCell ref="C187:G187"/>
    <mergeCell ref="A181:B181"/>
    <mergeCell ref="C181:D181"/>
    <mergeCell ref="E181:F181"/>
    <mergeCell ref="A182:B182"/>
    <mergeCell ref="E184:F184"/>
    <mergeCell ref="A185:B185"/>
    <mergeCell ref="C29:D29"/>
    <mergeCell ref="E29:F29"/>
    <mergeCell ref="A52:B52"/>
    <mergeCell ref="C52:D52"/>
    <mergeCell ref="E52:F52"/>
    <mergeCell ref="A53:B53"/>
    <mergeCell ref="C53:D53"/>
    <mergeCell ref="E53:F53"/>
    <mergeCell ref="A39:B39"/>
    <mergeCell ref="A32:B32"/>
    <mergeCell ref="C37:D37"/>
    <mergeCell ref="C38:D38"/>
    <mergeCell ref="C39:D39"/>
    <mergeCell ref="A41:B41"/>
    <mergeCell ref="C41:D41"/>
    <mergeCell ref="E41:F41"/>
    <mergeCell ref="A34:B34"/>
    <mergeCell ref="A57:B57"/>
    <mergeCell ref="C57:D57"/>
    <mergeCell ref="E61:F61"/>
    <mergeCell ref="E57:F57"/>
    <mergeCell ref="A60:B60"/>
    <mergeCell ref="C60:D60"/>
    <mergeCell ref="C74:D74"/>
    <mergeCell ref="A197:B197"/>
    <mergeCell ref="C197:D197"/>
    <mergeCell ref="E197:F197"/>
    <mergeCell ref="A183:B183"/>
    <mergeCell ref="C183:D183"/>
    <mergeCell ref="E183:F183"/>
    <mergeCell ref="A180:B180"/>
    <mergeCell ref="C180:D180"/>
    <mergeCell ref="E180:F180"/>
    <mergeCell ref="A189:B189"/>
    <mergeCell ref="C189:D189"/>
    <mergeCell ref="A188:B188"/>
    <mergeCell ref="C188:D188"/>
    <mergeCell ref="E188:F188"/>
    <mergeCell ref="E182:F182"/>
    <mergeCell ref="C185:D185"/>
    <mergeCell ref="E185:F185"/>
    <mergeCell ref="A157:B157"/>
    <mergeCell ref="C157:D157"/>
    <mergeCell ref="E157:F157"/>
    <mergeCell ref="A158:B158"/>
    <mergeCell ref="C158:D158"/>
    <mergeCell ref="A254:B254"/>
    <mergeCell ref="C254:D254"/>
    <mergeCell ref="E254:F254"/>
    <mergeCell ref="A205:G205"/>
    <mergeCell ref="C206:D206"/>
    <mergeCell ref="E206:F206"/>
    <mergeCell ref="A234:G234"/>
    <mergeCell ref="E228:F228"/>
    <mergeCell ref="C244:G244"/>
    <mergeCell ref="C237:D237"/>
    <mergeCell ref="E237:F237"/>
    <mergeCell ref="C235:G235"/>
    <mergeCell ref="E158:F158"/>
    <mergeCell ref="A159:G159"/>
    <mergeCell ref="A161:B161"/>
    <mergeCell ref="C161:D161"/>
    <mergeCell ref="E161:F161"/>
    <mergeCell ref="A162:B162"/>
    <mergeCell ref="C162:D162"/>
    <mergeCell ref="A154:B154"/>
    <mergeCell ref="C154:D154"/>
    <mergeCell ref="E154:F154"/>
    <mergeCell ref="A155:B155"/>
    <mergeCell ref="C155:D155"/>
    <mergeCell ref="E155:F155"/>
    <mergeCell ref="A156:B156"/>
    <mergeCell ref="C156:D156"/>
    <mergeCell ref="E156:F156"/>
    <mergeCell ref="A135:B135"/>
    <mergeCell ref="C135:D135"/>
    <mergeCell ref="E135:F135"/>
    <mergeCell ref="C142:G142"/>
    <mergeCell ref="A136:B136"/>
    <mergeCell ref="C136:D136"/>
    <mergeCell ref="E136:F136"/>
    <mergeCell ref="A137:B137"/>
    <mergeCell ref="C137:D137"/>
    <mergeCell ref="E137:F137"/>
    <mergeCell ref="A141:G141"/>
    <mergeCell ref="A138:G138"/>
    <mergeCell ref="C140:D140"/>
    <mergeCell ref="E140:F140"/>
    <mergeCell ref="A139:G139"/>
    <mergeCell ref="A132:B132"/>
    <mergeCell ref="C132:D132"/>
    <mergeCell ref="E132:F132"/>
    <mergeCell ref="A133:B133"/>
    <mergeCell ref="C133:D133"/>
    <mergeCell ref="E133:F133"/>
    <mergeCell ref="A134:B134"/>
    <mergeCell ref="C134:D134"/>
    <mergeCell ref="E134:F134"/>
    <mergeCell ref="A266:G266"/>
    <mergeCell ref="C83:D83"/>
    <mergeCell ref="E77:F77"/>
    <mergeCell ref="E78:F78"/>
    <mergeCell ref="E79:F79"/>
    <mergeCell ref="E80:F80"/>
    <mergeCell ref="E81:F81"/>
    <mergeCell ref="E83:F83"/>
    <mergeCell ref="C91:D91"/>
    <mergeCell ref="C92:D92"/>
    <mergeCell ref="A92:B92"/>
    <mergeCell ref="A98:B98"/>
    <mergeCell ref="C98:D98"/>
    <mergeCell ref="E98:F98"/>
    <mergeCell ref="A96:B96"/>
    <mergeCell ref="C96:D96"/>
    <mergeCell ref="E96:F96"/>
    <mergeCell ref="C97:D97"/>
    <mergeCell ref="E97:F97"/>
    <mergeCell ref="A90:B90"/>
    <mergeCell ref="A87:B87"/>
    <mergeCell ref="A95:B95"/>
    <mergeCell ref="C95:D95"/>
    <mergeCell ref="E95:F95"/>
    <mergeCell ref="A262:G262"/>
    <mergeCell ref="A263:G263"/>
    <mergeCell ref="A265:G265"/>
    <mergeCell ref="A104:B104"/>
    <mergeCell ref="C104:D104"/>
    <mergeCell ref="E104:F104"/>
    <mergeCell ref="A106:B106"/>
    <mergeCell ref="A113:B113"/>
    <mergeCell ref="C113:D113"/>
    <mergeCell ref="E113:F113"/>
    <mergeCell ref="A143:B143"/>
    <mergeCell ref="C143:D143"/>
    <mergeCell ref="A116:B116"/>
    <mergeCell ref="A114:B114"/>
    <mergeCell ref="C114:D114"/>
    <mergeCell ref="E114:F114"/>
    <mergeCell ref="A115:B115"/>
    <mergeCell ref="C115:D115"/>
    <mergeCell ref="E115:F115"/>
    <mergeCell ref="C116:D116"/>
    <mergeCell ref="E116:F116"/>
    <mergeCell ref="A117:B117"/>
    <mergeCell ref="C117:D117"/>
    <mergeCell ref="E117:F117"/>
    <mergeCell ref="C131:D131"/>
    <mergeCell ref="E131:F131"/>
    <mergeCell ref="A107:B107"/>
    <mergeCell ref="E82:F82"/>
    <mergeCell ref="A82:B82"/>
    <mergeCell ref="A83:B83"/>
    <mergeCell ref="C77:D77"/>
    <mergeCell ref="C78:D78"/>
    <mergeCell ref="C79:D79"/>
    <mergeCell ref="C80:D80"/>
    <mergeCell ref="C81:D81"/>
    <mergeCell ref="C82:D82"/>
    <mergeCell ref="A77:B77"/>
    <mergeCell ref="C107:D107"/>
    <mergeCell ref="E107:F107"/>
    <mergeCell ref="C94:G94"/>
    <mergeCell ref="A101:B101"/>
    <mergeCell ref="A131:B131"/>
    <mergeCell ref="E86:F86"/>
    <mergeCell ref="A88:B88"/>
    <mergeCell ref="A89:B89"/>
    <mergeCell ref="A91:B91"/>
    <mergeCell ref="A105:B105"/>
    <mergeCell ref="C105:D105"/>
    <mergeCell ref="A7:B7"/>
    <mergeCell ref="C7:D7"/>
    <mergeCell ref="E7:F7"/>
    <mergeCell ref="C12:D12"/>
    <mergeCell ref="E12:F12"/>
    <mergeCell ref="A13:B13"/>
    <mergeCell ref="C13:D13"/>
    <mergeCell ref="E13:F13"/>
    <mergeCell ref="A12:B12"/>
    <mergeCell ref="A11:B11"/>
    <mergeCell ref="C11:D11"/>
    <mergeCell ref="E11:F11"/>
    <mergeCell ref="E15:F15"/>
    <mergeCell ref="A17:B17"/>
    <mergeCell ref="C17:D17"/>
    <mergeCell ref="E17:F17"/>
    <mergeCell ref="A38:B38"/>
    <mergeCell ref="A21:B21"/>
    <mergeCell ref="C21:D21"/>
    <mergeCell ref="E21:F21"/>
    <mergeCell ref="A31:G31"/>
    <mergeCell ref="A22:B22"/>
    <mergeCell ref="E22:F22"/>
    <mergeCell ref="A23:B23"/>
    <mergeCell ref="C22:D22"/>
    <mergeCell ref="C23:D23"/>
    <mergeCell ref="E32:F32"/>
    <mergeCell ref="E34:F34"/>
    <mergeCell ref="A37:B37"/>
    <mergeCell ref="C32:D32"/>
    <mergeCell ref="C34:D34"/>
    <mergeCell ref="C35:D35"/>
    <mergeCell ref="A33:B33"/>
    <mergeCell ref="C33:D33"/>
    <mergeCell ref="E33:F33"/>
    <mergeCell ref="A29:B29"/>
    <mergeCell ref="A1:G1"/>
    <mergeCell ref="A24:B24"/>
    <mergeCell ref="C24:D24"/>
    <mergeCell ref="E24:F24"/>
    <mergeCell ref="A20:B20"/>
    <mergeCell ref="C20:D20"/>
    <mergeCell ref="B2:G2"/>
    <mergeCell ref="A10:G10"/>
    <mergeCell ref="A16:G16"/>
    <mergeCell ref="E19:F19"/>
    <mergeCell ref="E20:F20"/>
    <mergeCell ref="E23:F23"/>
    <mergeCell ref="A18:B18"/>
    <mergeCell ref="C18:D18"/>
    <mergeCell ref="A15:B15"/>
    <mergeCell ref="C15:D15"/>
    <mergeCell ref="A4:G4"/>
    <mergeCell ref="G5:G6"/>
    <mergeCell ref="A8:B8"/>
    <mergeCell ref="C8:D8"/>
    <mergeCell ref="E8:F8"/>
    <mergeCell ref="A9:B9"/>
    <mergeCell ref="C9:D9"/>
    <mergeCell ref="E9:F9"/>
    <mergeCell ref="A71:G71"/>
    <mergeCell ref="C49:D49"/>
    <mergeCell ref="E49:F49"/>
    <mergeCell ref="A79:B79"/>
    <mergeCell ref="A80:B80"/>
    <mergeCell ref="A81:B81"/>
    <mergeCell ref="A40:B40"/>
    <mergeCell ref="C40:D40"/>
    <mergeCell ref="C103:G103"/>
    <mergeCell ref="C99:D99"/>
    <mergeCell ref="E99:F99"/>
    <mergeCell ref="A100:B100"/>
    <mergeCell ref="C100:D100"/>
    <mergeCell ref="A70:G70"/>
    <mergeCell ref="E100:F100"/>
    <mergeCell ref="A86:B86"/>
    <mergeCell ref="C86:D86"/>
    <mergeCell ref="A78:B78"/>
    <mergeCell ref="C85:G85"/>
    <mergeCell ref="C101:D101"/>
    <mergeCell ref="E101:F101"/>
    <mergeCell ref="A99:B99"/>
    <mergeCell ref="C56:D56"/>
    <mergeCell ref="E56:F56"/>
    <mergeCell ref="A97:B97"/>
    <mergeCell ref="C106:D106"/>
    <mergeCell ref="E106:F106"/>
    <mergeCell ref="C89:D89"/>
    <mergeCell ref="C121:G121"/>
    <mergeCell ref="A118:B118"/>
    <mergeCell ref="C118:D118"/>
    <mergeCell ref="E118:F118"/>
    <mergeCell ref="A119:B119"/>
    <mergeCell ref="C119:D119"/>
    <mergeCell ref="E119:F119"/>
    <mergeCell ref="A108:B108"/>
    <mergeCell ref="C108:D108"/>
    <mergeCell ref="E108:F108"/>
    <mergeCell ref="C112:G112"/>
    <mergeCell ref="A109:B109"/>
    <mergeCell ref="C109:D109"/>
    <mergeCell ref="E109:F109"/>
    <mergeCell ref="A110:B110"/>
    <mergeCell ref="C110:D110"/>
    <mergeCell ref="E110:F110"/>
    <mergeCell ref="A111:G111"/>
    <mergeCell ref="E105:F105"/>
    <mergeCell ref="A102:G102"/>
    <mergeCell ref="A122:B122"/>
    <mergeCell ref="C122:D122"/>
    <mergeCell ref="E122:F122"/>
    <mergeCell ref="A123:B123"/>
    <mergeCell ref="C123:D123"/>
    <mergeCell ref="E123:F123"/>
    <mergeCell ref="A124:B124"/>
    <mergeCell ref="C124:D124"/>
    <mergeCell ref="E124:F124"/>
    <mergeCell ref="C130:G130"/>
    <mergeCell ref="C126:D126"/>
    <mergeCell ref="E126:F126"/>
    <mergeCell ref="C128:D128"/>
    <mergeCell ref="E128:F128"/>
    <mergeCell ref="A127:B127"/>
    <mergeCell ref="C127:D127"/>
    <mergeCell ref="E127:F127"/>
    <mergeCell ref="A125:B125"/>
    <mergeCell ref="C125:D125"/>
    <mergeCell ref="E125:F125"/>
    <mergeCell ref="A126:B126"/>
    <mergeCell ref="A129:G129"/>
    <mergeCell ref="A128:B128"/>
    <mergeCell ref="A145:B145"/>
    <mergeCell ref="C145:D145"/>
    <mergeCell ref="E145:F145"/>
    <mergeCell ref="E143:F143"/>
    <mergeCell ref="A146:B146"/>
    <mergeCell ref="C146:D146"/>
    <mergeCell ref="E146:F146"/>
    <mergeCell ref="A147:B147"/>
    <mergeCell ref="C147:D147"/>
    <mergeCell ref="E147:F147"/>
    <mergeCell ref="A144:B144"/>
    <mergeCell ref="C144:D144"/>
    <mergeCell ref="E144:F144"/>
    <mergeCell ref="C151:G151"/>
    <mergeCell ref="A148:B148"/>
    <mergeCell ref="C148:D148"/>
    <mergeCell ref="E148:F148"/>
    <mergeCell ref="A149:B149"/>
    <mergeCell ref="C149:D149"/>
    <mergeCell ref="E149:F149"/>
    <mergeCell ref="A150:G150"/>
    <mergeCell ref="A153:B153"/>
    <mergeCell ref="C153:D153"/>
    <mergeCell ref="E153:F153"/>
    <mergeCell ref="A152:B152"/>
    <mergeCell ref="C152:D152"/>
    <mergeCell ref="E152:F152"/>
    <mergeCell ref="E162:F162"/>
    <mergeCell ref="A163:B163"/>
    <mergeCell ref="C163:D163"/>
    <mergeCell ref="E163:F163"/>
    <mergeCell ref="C160:G160"/>
    <mergeCell ref="E175:F175"/>
    <mergeCell ref="A164:B164"/>
    <mergeCell ref="C164:D164"/>
    <mergeCell ref="E164:F164"/>
    <mergeCell ref="A165:B165"/>
    <mergeCell ref="C165:D165"/>
    <mergeCell ref="E165:F165"/>
    <mergeCell ref="C169:G169"/>
    <mergeCell ref="A166:B166"/>
    <mergeCell ref="C166:D166"/>
    <mergeCell ref="E166:F166"/>
    <mergeCell ref="A167:B167"/>
    <mergeCell ref="C167:D167"/>
    <mergeCell ref="E167:F167"/>
    <mergeCell ref="A170:B170"/>
    <mergeCell ref="C170:D170"/>
    <mergeCell ref="E170:F170"/>
    <mergeCell ref="A179:B179"/>
    <mergeCell ref="A171:B171"/>
    <mergeCell ref="C171:D171"/>
    <mergeCell ref="E171:F171"/>
    <mergeCell ref="A172:B172"/>
    <mergeCell ref="C172:D172"/>
    <mergeCell ref="E172:F172"/>
    <mergeCell ref="A173:B173"/>
    <mergeCell ref="C173:D173"/>
    <mergeCell ref="E173:F173"/>
    <mergeCell ref="A174:B174"/>
    <mergeCell ref="C174:D174"/>
    <mergeCell ref="E174:F174"/>
    <mergeCell ref="A175:B175"/>
    <mergeCell ref="C175:D175"/>
    <mergeCell ref="E176:F176"/>
    <mergeCell ref="C179:D179"/>
    <mergeCell ref="E179:F179"/>
    <mergeCell ref="A177:G177"/>
    <mergeCell ref="A193:B193"/>
    <mergeCell ref="C193:D193"/>
    <mergeCell ref="E193:F193"/>
    <mergeCell ref="A194:B194"/>
    <mergeCell ref="C194:D194"/>
    <mergeCell ref="E194:F194"/>
    <mergeCell ref="A168:G168"/>
    <mergeCell ref="C196:G196"/>
    <mergeCell ref="C178:G178"/>
    <mergeCell ref="A190:B190"/>
    <mergeCell ref="C190:D190"/>
    <mergeCell ref="E190:F190"/>
    <mergeCell ref="A191:B191"/>
    <mergeCell ref="C191:D191"/>
    <mergeCell ref="E191:F191"/>
    <mergeCell ref="A192:B192"/>
    <mergeCell ref="C192:D192"/>
    <mergeCell ref="E192:F192"/>
    <mergeCell ref="C182:D182"/>
    <mergeCell ref="A184:B184"/>
    <mergeCell ref="C184:D184"/>
    <mergeCell ref="E189:F189"/>
    <mergeCell ref="A176:B176"/>
    <mergeCell ref="C176:D176"/>
    <mergeCell ref="A198:B198"/>
    <mergeCell ref="C198:D198"/>
    <mergeCell ref="E198:F198"/>
    <mergeCell ref="A199:B199"/>
    <mergeCell ref="C199:D199"/>
    <mergeCell ref="E199:F199"/>
    <mergeCell ref="A200:B200"/>
    <mergeCell ref="C200:D200"/>
    <mergeCell ref="E200:F200"/>
    <mergeCell ref="A207:G207"/>
    <mergeCell ref="C208:G208"/>
    <mergeCell ref="A209:B209"/>
    <mergeCell ref="C209:D209"/>
    <mergeCell ref="E209:F209"/>
    <mergeCell ref="A210:B210"/>
    <mergeCell ref="C210:D210"/>
    <mergeCell ref="E210:F210"/>
    <mergeCell ref="A201:B201"/>
    <mergeCell ref="C201:D201"/>
    <mergeCell ref="E201:F201"/>
    <mergeCell ref="A202:B202"/>
    <mergeCell ref="C202:D202"/>
    <mergeCell ref="E202:F202"/>
    <mergeCell ref="A203:B203"/>
    <mergeCell ref="C203:D203"/>
    <mergeCell ref="E203:F203"/>
    <mergeCell ref="A216:G216"/>
    <mergeCell ref="C217:G217"/>
    <mergeCell ref="A218:B218"/>
    <mergeCell ref="C218:D218"/>
    <mergeCell ref="E211:F211"/>
    <mergeCell ref="A212:B212"/>
    <mergeCell ref="C212:D212"/>
    <mergeCell ref="E212:F212"/>
    <mergeCell ref="A213:B213"/>
    <mergeCell ref="C213:D213"/>
    <mergeCell ref="E213:F213"/>
    <mergeCell ref="A214:B214"/>
    <mergeCell ref="C214:D214"/>
    <mergeCell ref="E214:F214"/>
    <mergeCell ref="E218:F218"/>
    <mergeCell ref="C223:D223"/>
    <mergeCell ref="E223:F223"/>
    <mergeCell ref="A220:B220"/>
    <mergeCell ref="C220:D220"/>
    <mergeCell ref="E220:F220"/>
    <mergeCell ref="A221:B221"/>
    <mergeCell ref="A219:B219"/>
    <mergeCell ref="C219:D219"/>
    <mergeCell ref="E219:F219"/>
    <mergeCell ref="A239:B239"/>
    <mergeCell ref="C239:D239"/>
    <mergeCell ref="E239:F239"/>
    <mergeCell ref="A204:G204"/>
    <mergeCell ref="A233:B233"/>
    <mergeCell ref="C233:D233"/>
    <mergeCell ref="E233:F233"/>
    <mergeCell ref="A230:B230"/>
    <mergeCell ref="C230:D230"/>
    <mergeCell ref="E230:F230"/>
    <mergeCell ref="A231:B231"/>
    <mergeCell ref="C232:D232"/>
    <mergeCell ref="E232:F232"/>
    <mergeCell ref="C231:D231"/>
    <mergeCell ref="E231:F231"/>
    <mergeCell ref="A236:B236"/>
    <mergeCell ref="C236:D236"/>
    <mergeCell ref="E236:F236"/>
    <mergeCell ref="A238:B238"/>
    <mergeCell ref="C238:D238"/>
    <mergeCell ref="E238:F238"/>
    <mergeCell ref="A237:B237"/>
    <mergeCell ref="A232:B232"/>
    <mergeCell ref="A223:B223"/>
    <mergeCell ref="E247:F247"/>
    <mergeCell ref="A248:B248"/>
    <mergeCell ref="C248:D248"/>
    <mergeCell ref="E248:F248"/>
    <mergeCell ref="A240:B240"/>
    <mergeCell ref="C240:D240"/>
    <mergeCell ref="E240:F240"/>
    <mergeCell ref="A241:B241"/>
    <mergeCell ref="C241:D241"/>
    <mergeCell ref="E241:F241"/>
    <mergeCell ref="A243:G243"/>
    <mergeCell ref="A242:B242"/>
    <mergeCell ref="C242:D242"/>
    <mergeCell ref="E242:F242"/>
    <mergeCell ref="C256:D256"/>
    <mergeCell ref="E256:F256"/>
    <mergeCell ref="A257:B257"/>
    <mergeCell ref="C257:D257"/>
    <mergeCell ref="E257:F257"/>
    <mergeCell ref="A245:B245"/>
    <mergeCell ref="C245:D245"/>
    <mergeCell ref="E245:F245"/>
    <mergeCell ref="A251:B251"/>
    <mergeCell ref="C251:D251"/>
    <mergeCell ref="E251:F251"/>
    <mergeCell ref="C253:G253"/>
    <mergeCell ref="A252:G252"/>
    <mergeCell ref="A249:B249"/>
    <mergeCell ref="C249:D249"/>
    <mergeCell ref="E249:F249"/>
    <mergeCell ref="A250:B250"/>
    <mergeCell ref="C250:D250"/>
    <mergeCell ref="A246:B246"/>
    <mergeCell ref="C246:D246"/>
    <mergeCell ref="E246:F246"/>
    <mergeCell ref="E250:F250"/>
    <mergeCell ref="A247:B247"/>
    <mergeCell ref="C247:D247"/>
    <mergeCell ref="A3:G3"/>
    <mergeCell ref="A50:G50"/>
    <mergeCell ref="A84:G84"/>
    <mergeCell ref="A93:G93"/>
    <mergeCell ref="E90:F90"/>
    <mergeCell ref="E91:F91"/>
    <mergeCell ref="E92:F92"/>
    <mergeCell ref="E87:F87"/>
    <mergeCell ref="E88:F88"/>
    <mergeCell ref="E14:F14"/>
    <mergeCell ref="C14:D14"/>
    <mergeCell ref="E18:F18"/>
    <mergeCell ref="A19:B19"/>
    <mergeCell ref="C19:D19"/>
    <mergeCell ref="E89:F89"/>
    <mergeCell ref="C90:D90"/>
    <mergeCell ref="C76:G76"/>
    <mergeCell ref="E35:F35"/>
    <mergeCell ref="E37:F37"/>
    <mergeCell ref="E38:F38"/>
    <mergeCell ref="E39:F39"/>
    <mergeCell ref="C87:D87"/>
    <mergeCell ref="C88:D88"/>
    <mergeCell ref="C5:D6"/>
    <mergeCell ref="E5:F6"/>
    <mergeCell ref="A228:B228"/>
    <mergeCell ref="C228:D228"/>
    <mergeCell ref="A224:B224"/>
    <mergeCell ref="A229:B229"/>
    <mergeCell ref="C226:G226"/>
    <mergeCell ref="C229:D229"/>
    <mergeCell ref="E229:F229"/>
    <mergeCell ref="C224:D224"/>
    <mergeCell ref="E224:F224"/>
    <mergeCell ref="A225:G225"/>
    <mergeCell ref="A227:B227"/>
    <mergeCell ref="C227:D227"/>
    <mergeCell ref="E227:F227"/>
    <mergeCell ref="A215:B215"/>
    <mergeCell ref="C215:D215"/>
    <mergeCell ref="E215:F215"/>
    <mergeCell ref="C221:D221"/>
    <mergeCell ref="E221:F221"/>
    <mergeCell ref="A222:B222"/>
    <mergeCell ref="C222:D222"/>
    <mergeCell ref="A211:B211"/>
    <mergeCell ref="C211:D211"/>
    <mergeCell ref="E222:F222"/>
    <mergeCell ref="A264:G264"/>
    <mergeCell ref="A46:B46"/>
    <mergeCell ref="C46:D46"/>
    <mergeCell ref="E46:F46"/>
    <mergeCell ref="A43:G43"/>
    <mergeCell ref="A44:B44"/>
    <mergeCell ref="C44:D44"/>
    <mergeCell ref="E44:F44"/>
    <mergeCell ref="A45:B45"/>
    <mergeCell ref="C45:D45"/>
    <mergeCell ref="E45:F45"/>
    <mergeCell ref="A260:B260"/>
    <mergeCell ref="C260:D260"/>
    <mergeCell ref="E260:F260"/>
    <mergeCell ref="A258:B258"/>
    <mergeCell ref="C258:D258"/>
    <mergeCell ref="E258:F258"/>
    <mergeCell ref="A259:B259"/>
    <mergeCell ref="C259:D259"/>
    <mergeCell ref="E259:F259"/>
    <mergeCell ref="A255:B255"/>
    <mergeCell ref="C255:D255"/>
    <mergeCell ref="E255:F255"/>
    <mergeCell ref="A256:B256"/>
  </mergeCells>
  <phoneticPr fontId="0" type="noConversion"/>
  <conditionalFormatting sqref="E41">
    <cfRule type="expression" dxfId="24" priority="75">
      <formula>OR(horizonyr=0,horizonyr="")</formula>
    </cfRule>
  </conditionalFormatting>
  <printOptions horizontalCentered="1"/>
  <pageMargins left="0.75" right="0.75" top="0.5" bottom="0.5" header="0.5" footer="0.5"/>
  <pageSetup scale="77" fitToHeight="6" orientation="portrait" r:id="rId2"/>
  <headerFooter alignWithMargins="0"/>
  <rowBreaks count="1" manualBreakCount="1">
    <brk id="153" max="6" man="1"/>
  </rowBreaks>
  <ignoredErrors>
    <ignoredError sqref="A10:G11 B31:G31 B14 F14 A33:B33 A32:D32 F32 A50:G50 B38:D38 F38:G38 B76 A16:G17 A13:D13 A12:B12 C28:D28 A24:D24 A18:B18 A19:B19 A37:D37 B35:D35 F13:G13 A15:D15 F15:G15 A20:D20 A21:D21 A22:B22 A23:D23 G20:G24 F24 F23 F21 F20 A34:B34 G37 A39:D39 A40:D40 G39:G40 F37 F35 F34 F40 F39 A41:G41 C27:D27 E33:G33" unlocked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80" id="{7B9ED466-2890-432E-9F83-8A936D55A310}">
            <xm:f>OR('Project Description'!$C$96="(Select…)",'Project Description'!$C$96="None")</xm:f>
            <x14:dxf>
              <fill>
                <patternFill>
                  <bgColor theme="0" tint="-0.14996795556505021"/>
                </patternFill>
              </fill>
            </x14:dxf>
          </x14:cfRule>
          <xm:sqref>E78:F79</xm:sqref>
        </x14:conditionalFormatting>
        <x14:conditionalFormatting xmlns:xm="http://schemas.microsoft.com/office/excel/2006/main">
          <x14:cfRule type="expression" priority="23" id="{463F5B46-8E56-441B-96EC-271BC1DB8A83}">
            <xm:f>OR('Project Description'!$C$96="(Select…)",'Project Description'!$C$96="None")</xm:f>
            <x14:dxf>
              <fill>
                <patternFill>
                  <bgColor theme="0" tint="-0.14996795556505021"/>
                </patternFill>
              </fill>
            </x14:dxf>
          </x14:cfRule>
          <xm:sqref>E87:F88</xm:sqref>
        </x14:conditionalFormatting>
        <x14:conditionalFormatting xmlns:xm="http://schemas.microsoft.com/office/excel/2006/main">
          <x14:cfRule type="expression" priority="22" id="{D9CD3963-C07C-45A5-B338-922CE3272994}">
            <xm:f>OR('Project Description'!$C$96="(Select…)",'Project Description'!$C$96="None")</xm:f>
            <x14:dxf>
              <fill>
                <patternFill>
                  <bgColor theme="0" tint="-0.14996795556505021"/>
                </patternFill>
              </fill>
            </x14:dxf>
          </x14:cfRule>
          <xm:sqref>E96:F97</xm:sqref>
        </x14:conditionalFormatting>
        <x14:conditionalFormatting xmlns:xm="http://schemas.microsoft.com/office/excel/2006/main">
          <x14:cfRule type="expression" priority="21" id="{BFD8A4F5-3ACF-4A7F-AE86-D89938712E4E}">
            <xm:f>OR('Project Description'!$C$96="(Select…)",'Project Description'!$C$96="None")</xm:f>
            <x14:dxf>
              <fill>
                <patternFill>
                  <bgColor theme="0" tint="-0.14996795556505021"/>
                </patternFill>
              </fill>
            </x14:dxf>
          </x14:cfRule>
          <xm:sqref>E105:F106</xm:sqref>
        </x14:conditionalFormatting>
        <x14:conditionalFormatting xmlns:xm="http://schemas.microsoft.com/office/excel/2006/main">
          <x14:cfRule type="expression" priority="20" id="{E237F255-96A6-4CEA-8889-E422CB045A3F}">
            <xm:f>OR('Project Description'!$C$96="(Select…)",'Project Description'!$C$96="None")</xm:f>
            <x14:dxf>
              <fill>
                <patternFill>
                  <bgColor theme="0" tint="-0.14996795556505021"/>
                </patternFill>
              </fill>
            </x14:dxf>
          </x14:cfRule>
          <xm:sqref>E114:F115</xm:sqref>
        </x14:conditionalFormatting>
        <x14:conditionalFormatting xmlns:xm="http://schemas.microsoft.com/office/excel/2006/main">
          <x14:cfRule type="expression" priority="19" id="{CB637C31-538A-4E3C-A08B-35551C2C4C9B}">
            <xm:f>OR('Project Description'!$C$96="(Select…)",'Project Description'!$C$96="None")</xm:f>
            <x14:dxf>
              <fill>
                <patternFill>
                  <bgColor theme="0" tint="-0.14996795556505021"/>
                </patternFill>
              </fill>
            </x14:dxf>
          </x14:cfRule>
          <xm:sqref>E123:F124</xm:sqref>
        </x14:conditionalFormatting>
        <x14:conditionalFormatting xmlns:xm="http://schemas.microsoft.com/office/excel/2006/main">
          <x14:cfRule type="expression" priority="18" id="{0DB6A1E3-E2EB-4465-B83C-7519A375492C}">
            <xm:f>OR('Project Description'!$C$96="(Select…)",'Project Description'!$C$96="None")</xm:f>
            <x14:dxf>
              <fill>
                <patternFill>
                  <bgColor theme="0" tint="-0.14996795556505021"/>
                </patternFill>
              </fill>
            </x14:dxf>
          </x14:cfRule>
          <xm:sqref>E132:F133</xm:sqref>
        </x14:conditionalFormatting>
        <x14:conditionalFormatting xmlns:xm="http://schemas.microsoft.com/office/excel/2006/main">
          <x14:cfRule type="expression" priority="17" id="{A044FF21-574E-4CD8-8771-255FCB83557F}">
            <xm:f>OR('Project Description'!$C$96="(Select…)",'Project Description'!$C$96="None")</xm:f>
            <x14:dxf>
              <fill>
                <patternFill>
                  <bgColor theme="0" tint="-0.14996795556505021"/>
                </patternFill>
              </fill>
            </x14:dxf>
          </x14:cfRule>
          <xm:sqref>E144:F145</xm:sqref>
        </x14:conditionalFormatting>
        <x14:conditionalFormatting xmlns:xm="http://schemas.microsoft.com/office/excel/2006/main">
          <x14:cfRule type="expression" priority="16" id="{CE9DF857-BA5C-4C4B-860B-552DA275F832}">
            <xm:f>OR('Project Description'!$C$96="(Select…)",'Project Description'!$C$96="None")</xm:f>
            <x14:dxf>
              <fill>
                <patternFill>
                  <bgColor theme="0" tint="-0.14996795556505021"/>
                </patternFill>
              </fill>
            </x14:dxf>
          </x14:cfRule>
          <xm:sqref>E153:F154</xm:sqref>
        </x14:conditionalFormatting>
        <x14:conditionalFormatting xmlns:xm="http://schemas.microsoft.com/office/excel/2006/main">
          <x14:cfRule type="expression" priority="15" id="{89D30BA2-1B21-4CCB-AA54-D3A93F9B0B6B}">
            <xm:f>OR('Project Description'!$C$96="(Select…)",'Project Description'!$C$96="None")</xm:f>
            <x14:dxf>
              <fill>
                <patternFill>
                  <bgColor theme="0" tint="-0.14996795556505021"/>
                </patternFill>
              </fill>
            </x14:dxf>
          </x14:cfRule>
          <xm:sqref>E162:F163</xm:sqref>
        </x14:conditionalFormatting>
        <x14:conditionalFormatting xmlns:xm="http://schemas.microsoft.com/office/excel/2006/main">
          <x14:cfRule type="expression" priority="14" id="{AD383738-1442-4555-96DA-37E9241D2A4C}">
            <xm:f>OR('Project Description'!$C$96="(Select…)",'Project Description'!$C$96="None")</xm:f>
            <x14:dxf>
              <fill>
                <patternFill>
                  <bgColor theme="0" tint="-0.14996795556505021"/>
                </patternFill>
              </fill>
            </x14:dxf>
          </x14:cfRule>
          <xm:sqref>E171:F172</xm:sqref>
        </x14:conditionalFormatting>
        <x14:conditionalFormatting xmlns:xm="http://schemas.microsoft.com/office/excel/2006/main">
          <x14:cfRule type="expression" priority="13" id="{6E1E1C1E-EF93-48B4-99CA-654CA3D130E2}">
            <xm:f>OR('Project Description'!$C$96="(Select…)",'Project Description'!$C$96="None")</xm:f>
            <x14:dxf>
              <fill>
                <patternFill>
                  <bgColor theme="0" tint="-0.14996795556505021"/>
                </patternFill>
              </fill>
            </x14:dxf>
          </x14:cfRule>
          <xm:sqref>E180:F181</xm:sqref>
        </x14:conditionalFormatting>
        <x14:conditionalFormatting xmlns:xm="http://schemas.microsoft.com/office/excel/2006/main">
          <x14:cfRule type="expression" priority="12" id="{C4A3EEDE-F10B-4BFF-A584-F5CF4E1FAAC8}">
            <xm:f>OR('Project Description'!$C$96="(Select…)",'Project Description'!$C$96="None")</xm:f>
            <x14:dxf>
              <fill>
                <patternFill>
                  <bgColor theme="0" tint="-0.14996795556505021"/>
                </patternFill>
              </fill>
            </x14:dxf>
          </x14:cfRule>
          <xm:sqref>E189:F190</xm:sqref>
        </x14:conditionalFormatting>
        <x14:conditionalFormatting xmlns:xm="http://schemas.microsoft.com/office/excel/2006/main">
          <x14:cfRule type="expression" priority="11" id="{6AC97508-BB8A-49BE-A4C8-3E150B50225F}">
            <xm:f>OR('Project Description'!$C$96="(Select…)",'Project Description'!$C$96="None")</xm:f>
            <x14:dxf>
              <fill>
                <patternFill>
                  <bgColor theme="0" tint="-0.14996795556505021"/>
                </patternFill>
              </fill>
            </x14:dxf>
          </x14:cfRule>
          <xm:sqref>E198:F199</xm:sqref>
        </x14:conditionalFormatting>
        <x14:conditionalFormatting xmlns:xm="http://schemas.microsoft.com/office/excel/2006/main">
          <x14:cfRule type="expression" priority="10" id="{3BA96727-9A5D-49E2-B6E5-89D1B3C3CB77}">
            <xm:f>OR('Project Description'!$C$96="(Select…)",'Project Description'!$C$96="None")</xm:f>
            <x14:dxf>
              <fill>
                <patternFill>
                  <bgColor theme="0" tint="-0.14996795556505021"/>
                </patternFill>
              </fill>
            </x14:dxf>
          </x14:cfRule>
          <xm:sqref>E210:F211</xm:sqref>
        </x14:conditionalFormatting>
        <x14:conditionalFormatting xmlns:xm="http://schemas.microsoft.com/office/excel/2006/main">
          <x14:cfRule type="expression" priority="9" id="{1F24DDFB-42A9-4BC0-83F5-8D6329A8587D}">
            <xm:f>OR('Project Description'!$C$96="(Select…)",'Project Description'!$C$96="None")</xm:f>
            <x14:dxf>
              <fill>
                <patternFill>
                  <bgColor theme="0" tint="-0.14996795556505021"/>
                </patternFill>
              </fill>
            </x14:dxf>
          </x14:cfRule>
          <xm:sqref>E219:F220</xm:sqref>
        </x14:conditionalFormatting>
        <x14:conditionalFormatting xmlns:xm="http://schemas.microsoft.com/office/excel/2006/main">
          <x14:cfRule type="expression" priority="8" id="{15F1EC89-76A1-4A49-882D-F3462FE827AC}">
            <xm:f>OR('Project Description'!$C$96="(Select…)",'Project Description'!$C$96="None")</xm:f>
            <x14:dxf>
              <fill>
                <patternFill>
                  <bgColor theme="0" tint="-0.14996795556505021"/>
                </patternFill>
              </fill>
            </x14:dxf>
          </x14:cfRule>
          <xm:sqref>E228:F229</xm:sqref>
        </x14:conditionalFormatting>
        <x14:conditionalFormatting xmlns:xm="http://schemas.microsoft.com/office/excel/2006/main">
          <x14:cfRule type="expression" priority="7" id="{5A390AA2-C8E7-45A5-86F1-3A9283032204}">
            <xm:f>OR('Project Description'!$C$96="(Select…)",'Project Description'!$C$96="None")</xm:f>
            <x14:dxf>
              <fill>
                <patternFill>
                  <bgColor theme="0" tint="-0.14996795556505021"/>
                </patternFill>
              </fill>
            </x14:dxf>
          </x14:cfRule>
          <xm:sqref>E237:F238</xm:sqref>
        </x14:conditionalFormatting>
        <x14:conditionalFormatting xmlns:xm="http://schemas.microsoft.com/office/excel/2006/main">
          <x14:cfRule type="expression" priority="6" id="{8718D6E5-F83F-4558-A843-0B13D2025008}">
            <xm:f>OR('Project Description'!$C$96="(Select…)",'Project Description'!$C$96="None")</xm:f>
            <x14:dxf>
              <fill>
                <patternFill>
                  <bgColor theme="0" tint="-0.14996795556505021"/>
                </patternFill>
              </fill>
            </x14:dxf>
          </x14:cfRule>
          <xm:sqref>E246:F247</xm:sqref>
        </x14:conditionalFormatting>
        <x14:conditionalFormatting xmlns:xm="http://schemas.microsoft.com/office/excel/2006/main">
          <x14:cfRule type="expression" priority="5" id="{D11BB6F9-C287-48D8-B7AD-7DB63284ADD3}">
            <xm:f>OR('Project Description'!$C$96="(Select…)",'Project Description'!$C$96="None")</xm:f>
            <x14:dxf>
              <fill>
                <patternFill>
                  <bgColor theme="0" tint="-0.14996795556505021"/>
                </patternFill>
              </fill>
            </x14:dxf>
          </x14:cfRule>
          <xm:sqref>E255:F256</xm:sqref>
        </x14:conditionalFormatting>
        <x14:conditionalFormatting xmlns:xm="http://schemas.microsoft.com/office/excel/2006/main">
          <x14:cfRule type="expression" priority="4" id="{EB114CAA-2F9D-4F63-9A58-52A98C7F8FDF}">
            <xm:f>AND('Project Description'!$C$92="Yes")</xm:f>
            <x14:dxf>
              <fill>
                <patternFill patternType="solid">
                  <bgColor theme="0" tint="-0.14996795556505021"/>
                </patternFill>
              </fill>
            </x14:dxf>
          </x14:cfRule>
          <xm:sqref>E5:G6 E8:G9 E12:G15 E18:G24 E34:G40 E78:G83 E87:G92 E95:G101 E104:G110 E113:G119 E122:G128 E131:G137 E143:G149 E152:G158 E161:G167 E170:G176 E179:G185 E188:G194 E197:G203 E209:G215 E218:G224 E227:G233 E236:G242 E245:G251 E254:G260 E206:G206 E140:G140 E74:G74 G12 G18:G19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68"/>
  <sheetViews>
    <sheetView showGridLines="0" zoomScaleNormal="100" workbookViewId="0">
      <selection activeCell="H11" sqref="H11:K11"/>
    </sheetView>
  </sheetViews>
  <sheetFormatPr defaultColWidth="8.6640625" defaultRowHeight="10"/>
  <cols>
    <col min="1" max="1" width="5.33203125" style="115" bestFit="1" customWidth="1"/>
    <col min="2" max="2" width="36.6640625" style="115" customWidth="1"/>
    <col min="3" max="3" width="13.44140625" style="115" customWidth="1"/>
    <col min="4" max="4" width="15.6640625" style="115" customWidth="1"/>
    <col min="5" max="5" width="13.6640625" style="115" customWidth="1"/>
    <col min="6" max="6" width="14.44140625" style="115" customWidth="1"/>
    <col min="7" max="7" width="17.6640625" style="115" customWidth="1"/>
    <col min="8" max="8" width="13.44140625" style="115" customWidth="1"/>
    <col min="9" max="9" width="14.6640625" style="115" customWidth="1"/>
    <col min="10" max="11" width="13.6640625" style="115" customWidth="1"/>
    <col min="12" max="12" width="17.6640625" style="115" customWidth="1"/>
    <col min="13" max="13" width="13.6640625" style="115" customWidth="1"/>
    <col min="14" max="14" width="19" style="115" customWidth="1"/>
    <col min="15" max="16" width="13.6640625" style="115" customWidth="1"/>
    <col min="17" max="17" width="17.6640625" style="115" customWidth="1"/>
    <col min="18" max="18" width="11.6640625" style="115" customWidth="1"/>
    <col min="19" max="16384" width="8.6640625" style="115"/>
  </cols>
  <sheetData>
    <row r="1" spans="1:18" ht="18.75" customHeight="1" thickBot="1">
      <c r="A1" s="1022" t="s">
        <v>265</v>
      </c>
      <c r="B1" s="1023"/>
      <c r="C1" s="1023"/>
      <c r="D1" s="1023"/>
      <c r="E1" s="1023"/>
      <c r="F1" s="1023"/>
      <c r="G1" s="1023"/>
      <c r="H1" s="1023"/>
      <c r="I1" s="1023"/>
      <c r="J1" s="1023"/>
      <c r="K1" s="1023"/>
      <c r="L1" s="1023"/>
      <c r="M1" s="1023"/>
      <c r="N1" s="1023"/>
      <c r="O1" s="1023"/>
      <c r="P1" s="1023"/>
      <c r="Q1" s="1024"/>
      <c r="R1" s="502"/>
    </row>
    <row r="2" spans="1:18" ht="16" thickBot="1">
      <c r="A2" s="1000" t="s">
        <v>0</v>
      </c>
      <c r="B2" s="1001"/>
      <c r="C2" s="1001"/>
      <c r="D2" s="1001"/>
      <c r="E2" s="1002"/>
      <c r="F2" s="1000" t="str">
        <f>+Finance!B2</f>
        <v/>
      </c>
      <c r="G2" s="1001"/>
      <c r="H2" s="1001"/>
      <c r="I2" s="1001"/>
      <c r="J2" s="1001"/>
      <c r="K2" s="1001"/>
      <c r="L2" s="1001"/>
      <c r="M2" s="1001"/>
      <c r="N2" s="1001"/>
      <c r="O2" s="1001"/>
      <c r="P2" s="1001"/>
      <c r="Q2" s="1002"/>
      <c r="R2" s="236"/>
    </row>
    <row r="3" spans="1:18" s="492" customFormat="1" ht="6" customHeight="1">
      <c r="A3" s="225"/>
      <c r="B3" s="441"/>
      <c r="C3" s="441"/>
      <c r="D3" s="441"/>
      <c r="E3" s="441"/>
      <c r="F3" s="441"/>
      <c r="G3" s="441"/>
      <c r="H3" s="441"/>
      <c r="I3" s="441"/>
      <c r="J3" s="441"/>
      <c r="K3" s="441"/>
      <c r="L3" s="441"/>
      <c r="M3" s="441"/>
      <c r="N3" s="441"/>
      <c r="O3" s="441"/>
      <c r="P3" s="441"/>
      <c r="Q3" s="441"/>
      <c r="R3" s="441"/>
    </row>
    <row r="4" spans="1:18" s="492" customFormat="1" ht="15" customHeight="1">
      <c r="A4" s="1021" t="str">
        <f>IF(OR('Project Description'!C96="(Select…)",H8="(Select…)",H9="(Select…)",H10="(Select…)",H11="(Select…)"),CONCATENATE("*** To view Environmental Benefits results, specify ",IF('Project Description'!C92&lt;&gt;"Yes","the horizon year option in the Project Description Template and ",""),"the regional air quality attainment status for each criteria pollutant",IF('Project Description'!C92="Yes"," and enter additional requested information","")," below ***"),"")</f>
        <v>*** To view Environmental Benefits results, specify the horizon year option in the Project Description Template and the regional air quality attainment status for each criteria pollutant below ***</v>
      </c>
      <c r="B4" s="1021"/>
      <c r="C4" s="1021"/>
      <c r="D4" s="1021"/>
      <c r="E4" s="1021"/>
      <c r="F4" s="1021"/>
      <c r="G4" s="1021"/>
      <c r="H4" s="1021"/>
      <c r="I4" s="1021"/>
      <c r="J4" s="1021"/>
      <c r="K4" s="1021"/>
      <c r="L4" s="1021"/>
      <c r="M4" s="1021"/>
      <c r="N4" s="1021"/>
      <c r="O4" s="1021"/>
      <c r="P4" s="1021"/>
      <c r="Q4" s="1021"/>
      <c r="R4" s="441"/>
    </row>
    <row r="5" spans="1:18" s="492" customFormat="1" ht="6" customHeight="1" thickBot="1">
      <c r="A5" s="226"/>
      <c r="B5" s="441"/>
      <c r="C5" s="441"/>
      <c r="D5" s="441"/>
      <c r="E5" s="441"/>
      <c r="F5" s="441"/>
      <c r="G5" s="441"/>
      <c r="H5" s="441"/>
      <c r="I5" s="441"/>
      <c r="J5" s="441"/>
      <c r="K5" s="441"/>
      <c r="L5" s="441"/>
      <c r="M5" s="441"/>
      <c r="N5" s="441"/>
      <c r="O5" s="441"/>
      <c r="P5" s="441"/>
      <c r="Q5" s="441"/>
      <c r="R5" s="441"/>
    </row>
    <row r="6" spans="1:18" ht="16" thickBot="1">
      <c r="A6" s="794" t="s">
        <v>266</v>
      </c>
      <c r="B6" s="795"/>
      <c r="C6" s="795"/>
      <c r="D6" s="795"/>
      <c r="E6" s="795"/>
      <c r="F6" s="795"/>
      <c r="G6" s="795"/>
      <c r="H6" s="795"/>
      <c r="I6" s="795"/>
      <c r="J6" s="795"/>
      <c r="K6" s="795"/>
      <c r="L6" s="795"/>
      <c r="M6" s="795"/>
      <c r="N6" s="795"/>
      <c r="O6" s="795"/>
      <c r="P6" s="795"/>
      <c r="Q6" s="796"/>
      <c r="R6" s="236"/>
    </row>
    <row r="7" spans="1:18" s="503" customFormat="1" ht="14.5">
      <c r="A7" s="109" t="s">
        <v>83</v>
      </c>
      <c r="B7" s="1035" t="s">
        <v>178</v>
      </c>
      <c r="C7" s="1036"/>
      <c r="D7" s="1036"/>
      <c r="E7" s="1036"/>
      <c r="F7" s="1036"/>
      <c r="G7" s="1037"/>
      <c r="H7" s="991" t="s">
        <v>179</v>
      </c>
      <c r="I7" s="992"/>
      <c r="J7" s="992"/>
      <c r="K7" s="993"/>
      <c r="L7" s="447" t="s">
        <v>180</v>
      </c>
      <c r="M7" s="448"/>
      <c r="N7" s="448"/>
      <c r="O7" s="448"/>
      <c r="P7" s="448"/>
      <c r="Q7" s="449"/>
    </row>
    <row r="8" spans="1:18" ht="14.5">
      <c r="A8" s="110">
        <v>1</v>
      </c>
      <c r="B8" s="978" t="s">
        <v>267</v>
      </c>
      <c r="C8" s="979"/>
      <c r="D8" s="979"/>
      <c r="E8" s="979"/>
      <c r="F8" s="979"/>
      <c r="G8" s="980"/>
      <c r="H8" s="1003" t="s">
        <v>52</v>
      </c>
      <c r="I8" s="1004"/>
      <c r="J8" s="1004"/>
      <c r="K8" s="1005"/>
      <c r="L8" s="1012" t="s">
        <v>268</v>
      </c>
      <c r="M8" s="1013"/>
      <c r="N8" s="1013"/>
      <c r="O8" s="1013"/>
      <c r="P8" s="1013"/>
      <c r="Q8" s="1014"/>
    </row>
    <row r="9" spans="1:18" ht="14.5">
      <c r="A9" s="110">
        <f>A8+1</f>
        <v>2</v>
      </c>
      <c r="B9" s="978" t="s">
        <v>269</v>
      </c>
      <c r="C9" s="979"/>
      <c r="D9" s="979"/>
      <c r="E9" s="979"/>
      <c r="F9" s="979"/>
      <c r="G9" s="980"/>
      <c r="H9" s="1003" t="s">
        <v>52</v>
      </c>
      <c r="I9" s="1004"/>
      <c r="J9" s="1004"/>
      <c r="K9" s="1005"/>
      <c r="L9" s="1015"/>
      <c r="M9" s="1016"/>
      <c r="N9" s="1016"/>
      <c r="O9" s="1016"/>
      <c r="P9" s="1016"/>
      <c r="Q9" s="1017"/>
    </row>
    <row r="10" spans="1:18" ht="14.5">
      <c r="A10" s="110">
        <f t="shared" ref="A10:A11" si="0">A9+1</f>
        <v>3</v>
      </c>
      <c r="B10" s="978" t="s">
        <v>270</v>
      </c>
      <c r="C10" s="979"/>
      <c r="D10" s="979"/>
      <c r="E10" s="979"/>
      <c r="F10" s="979"/>
      <c r="G10" s="980"/>
      <c r="H10" s="1003" t="s">
        <v>52</v>
      </c>
      <c r="I10" s="1004"/>
      <c r="J10" s="1004"/>
      <c r="K10" s="1005"/>
      <c r="L10" s="1015"/>
      <c r="M10" s="1016"/>
      <c r="N10" s="1016"/>
      <c r="O10" s="1016"/>
      <c r="P10" s="1016"/>
      <c r="Q10" s="1017"/>
    </row>
    <row r="11" spans="1:18" ht="15" thickBot="1">
      <c r="A11" s="278">
        <f t="shared" si="0"/>
        <v>4</v>
      </c>
      <c r="B11" s="1006" t="s">
        <v>271</v>
      </c>
      <c r="C11" s="1007"/>
      <c r="D11" s="1007"/>
      <c r="E11" s="1007"/>
      <c r="F11" s="1007"/>
      <c r="G11" s="1008"/>
      <c r="H11" s="1009" t="s">
        <v>52</v>
      </c>
      <c r="I11" s="1010"/>
      <c r="J11" s="1010"/>
      <c r="K11" s="1011"/>
      <c r="L11" s="1018"/>
      <c r="M11" s="1019"/>
      <c r="N11" s="1019"/>
      <c r="O11" s="1019"/>
      <c r="P11" s="1019"/>
      <c r="Q11" s="1020"/>
    </row>
    <row r="12" spans="1:18" s="497" customFormat="1" ht="15" thickBot="1">
      <c r="A12" s="279"/>
      <c r="B12" s="280"/>
      <c r="C12" s="280"/>
      <c r="D12" s="280"/>
      <c r="E12" s="280"/>
      <c r="F12" s="280"/>
      <c r="G12" s="280"/>
      <c r="H12" s="504"/>
      <c r="I12" s="504"/>
      <c r="J12" s="504"/>
      <c r="K12" s="504"/>
      <c r="L12" s="505"/>
      <c r="M12" s="505"/>
      <c r="N12" s="505"/>
      <c r="O12" s="505"/>
      <c r="P12" s="505"/>
      <c r="Q12" s="505"/>
    </row>
    <row r="13" spans="1:18" ht="16" thickBot="1">
      <c r="A13" s="794" t="s">
        <v>272</v>
      </c>
      <c r="B13" s="795"/>
      <c r="C13" s="795"/>
      <c r="D13" s="795"/>
      <c r="E13" s="795"/>
      <c r="F13" s="795"/>
      <c r="G13" s="795"/>
      <c r="H13" s="795"/>
      <c r="I13" s="795"/>
      <c r="J13" s="795"/>
      <c r="K13" s="795"/>
      <c r="L13" s="795"/>
      <c r="M13" s="795"/>
      <c r="N13" s="795"/>
      <c r="O13" s="795"/>
      <c r="P13" s="795"/>
      <c r="Q13" s="796"/>
    </row>
    <row r="14" spans="1:18" ht="14.15" customHeight="1">
      <c r="A14" s="506" t="s">
        <v>83</v>
      </c>
      <c r="B14" s="988"/>
      <c r="C14" s="989"/>
      <c r="D14" s="989"/>
      <c r="E14" s="989"/>
      <c r="F14" s="989"/>
      <c r="G14" s="990"/>
      <c r="H14" s="991" t="s">
        <v>179</v>
      </c>
      <c r="I14" s="992"/>
      <c r="J14" s="992"/>
      <c r="K14" s="993"/>
      <c r="L14" s="507" t="s">
        <v>180</v>
      </c>
      <c r="M14" s="262"/>
      <c r="N14" s="262"/>
      <c r="O14" s="262"/>
      <c r="P14" s="262"/>
      <c r="Q14" s="263"/>
    </row>
    <row r="15" spans="1:18" ht="18" customHeight="1">
      <c r="A15" s="110" t="s">
        <v>273</v>
      </c>
      <c r="B15" s="963" t="s">
        <v>274</v>
      </c>
      <c r="C15" s="964"/>
      <c r="D15" s="964"/>
      <c r="E15" s="964"/>
      <c r="F15" s="964"/>
      <c r="G15" s="965"/>
      <c r="H15" s="994"/>
      <c r="I15" s="995"/>
      <c r="J15" s="995"/>
      <c r="K15" s="996"/>
      <c r="L15" s="963" t="s">
        <v>275</v>
      </c>
      <c r="M15" s="964"/>
      <c r="N15" s="964"/>
      <c r="O15" s="964"/>
      <c r="P15" s="964"/>
      <c r="Q15" s="965"/>
    </row>
    <row r="16" spans="1:18" ht="33" customHeight="1">
      <c r="A16" s="110" t="s">
        <v>276</v>
      </c>
      <c r="B16" s="975" t="s">
        <v>277</v>
      </c>
      <c r="C16" s="976"/>
      <c r="D16" s="976"/>
      <c r="E16" s="976"/>
      <c r="F16" s="976"/>
      <c r="G16" s="977"/>
      <c r="H16" s="997"/>
      <c r="I16" s="998"/>
      <c r="J16" s="998"/>
      <c r="K16" s="999"/>
      <c r="L16" s="963" t="s">
        <v>275</v>
      </c>
      <c r="M16" s="964"/>
      <c r="N16" s="964"/>
      <c r="O16" s="964"/>
      <c r="P16" s="964"/>
      <c r="Q16" s="965"/>
    </row>
    <row r="17" spans="1:17" ht="33.65" customHeight="1">
      <c r="A17" s="110" t="s">
        <v>278</v>
      </c>
      <c r="B17" s="963" t="s">
        <v>279</v>
      </c>
      <c r="C17" s="964"/>
      <c r="D17" s="964"/>
      <c r="E17" s="964"/>
      <c r="F17" s="964"/>
      <c r="G17" s="965"/>
      <c r="H17" s="984">
        <v>0.5</v>
      </c>
      <c r="I17" s="985"/>
      <c r="J17" s="985"/>
      <c r="K17" s="986"/>
      <c r="L17" s="975" t="s">
        <v>280</v>
      </c>
      <c r="M17" s="976"/>
      <c r="N17" s="976"/>
      <c r="O17" s="976"/>
      <c r="P17" s="976"/>
      <c r="Q17" s="977"/>
    </row>
    <row r="18" spans="1:17" ht="18" customHeight="1">
      <c r="A18" s="110" t="s">
        <v>281</v>
      </c>
      <c r="B18" s="963" t="s">
        <v>282</v>
      </c>
      <c r="C18" s="964"/>
      <c r="D18" s="964"/>
      <c r="E18" s="964"/>
      <c r="F18" s="964"/>
      <c r="G18" s="965"/>
      <c r="H18" s="981">
        <f>+H17*H16*H15</f>
        <v>0</v>
      </c>
      <c r="I18" s="982"/>
      <c r="J18" s="982"/>
      <c r="K18" s="983"/>
      <c r="L18" s="963" t="s">
        <v>283</v>
      </c>
      <c r="M18" s="964"/>
      <c r="N18" s="964"/>
      <c r="O18" s="964"/>
      <c r="P18" s="964"/>
      <c r="Q18" s="965"/>
    </row>
    <row r="19" spans="1:17" ht="18" customHeight="1">
      <c r="A19" s="110" t="s">
        <v>284</v>
      </c>
      <c r="B19" s="963" t="s">
        <v>285</v>
      </c>
      <c r="C19" s="964"/>
      <c r="D19" s="964"/>
      <c r="E19" s="964"/>
      <c r="F19" s="964"/>
      <c r="G19" s="965"/>
      <c r="H19" s="969">
        <v>0.2</v>
      </c>
      <c r="I19" s="970"/>
      <c r="J19" s="970"/>
      <c r="K19" s="971"/>
      <c r="L19" s="963" t="s">
        <v>286</v>
      </c>
      <c r="M19" s="964"/>
      <c r="N19" s="964"/>
      <c r="O19" s="964"/>
      <c r="P19" s="964"/>
      <c r="Q19" s="965"/>
    </row>
    <row r="20" spans="1:17" ht="18" customHeight="1">
      <c r="A20" s="110" t="s">
        <v>287</v>
      </c>
      <c r="B20" s="963" t="s">
        <v>288</v>
      </c>
      <c r="C20" s="964"/>
      <c r="D20" s="964"/>
      <c r="E20" s="964"/>
      <c r="F20" s="964"/>
      <c r="G20" s="965"/>
      <c r="H20" s="981">
        <f>+H19*H18</f>
        <v>0</v>
      </c>
      <c r="I20" s="982"/>
      <c r="J20" s="982"/>
      <c r="K20" s="983"/>
      <c r="L20" s="963" t="s">
        <v>289</v>
      </c>
      <c r="M20" s="964"/>
      <c r="N20" s="964"/>
      <c r="O20" s="964"/>
      <c r="P20" s="964"/>
      <c r="Q20" s="965"/>
    </row>
    <row r="21" spans="1:17" ht="33" customHeight="1">
      <c r="A21" s="110" t="s">
        <v>290</v>
      </c>
      <c r="B21" s="963" t="s">
        <v>291</v>
      </c>
      <c r="C21" s="964"/>
      <c r="D21" s="964"/>
      <c r="E21" s="964"/>
      <c r="F21" s="964"/>
      <c r="G21" s="965"/>
      <c r="H21" s="984">
        <v>1.1499999999999999</v>
      </c>
      <c r="I21" s="985"/>
      <c r="J21" s="985"/>
      <c r="K21" s="986"/>
      <c r="L21" s="978" t="s">
        <v>292</v>
      </c>
      <c r="M21" s="979"/>
      <c r="N21" s="979"/>
      <c r="O21" s="979"/>
      <c r="P21" s="979"/>
      <c r="Q21" s="980"/>
    </row>
    <row r="22" spans="1:17" ht="18" customHeight="1">
      <c r="A22" s="110" t="s">
        <v>293</v>
      </c>
      <c r="B22" s="963" t="s">
        <v>294</v>
      </c>
      <c r="C22" s="964"/>
      <c r="D22" s="964"/>
      <c r="E22" s="964"/>
      <c r="F22" s="964"/>
      <c r="G22" s="965"/>
      <c r="H22" s="981">
        <f>H20/H21</f>
        <v>0</v>
      </c>
      <c r="I22" s="982"/>
      <c r="J22" s="982"/>
      <c r="K22" s="983"/>
      <c r="L22" s="963" t="s">
        <v>295</v>
      </c>
      <c r="M22" s="964"/>
      <c r="N22" s="964"/>
      <c r="O22" s="964"/>
      <c r="P22" s="964"/>
      <c r="Q22" s="965"/>
    </row>
    <row r="23" spans="1:17" ht="18" customHeight="1">
      <c r="A23" s="110" t="s">
        <v>296</v>
      </c>
      <c r="B23" s="963" t="s">
        <v>297</v>
      </c>
      <c r="C23" s="964"/>
      <c r="D23" s="964"/>
      <c r="E23" s="964"/>
      <c r="F23" s="964"/>
      <c r="G23" s="965"/>
      <c r="H23" s="987">
        <f>IF('Project Description'!C48="",0,IF(NOT(ISNUMBER('Project Description'!C48)),"Correct entry in row 48 of the Proj. Descr. Template",'Project Description'!C48))</f>
        <v>0</v>
      </c>
      <c r="I23" s="987"/>
      <c r="J23" s="987"/>
      <c r="K23" s="987"/>
      <c r="L23" s="963" t="s">
        <v>298</v>
      </c>
      <c r="M23" s="964"/>
      <c r="N23" s="964"/>
      <c r="O23" s="964"/>
      <c r="P23" s="964"/>
      <c r="Q23" s="965"/>
    </row>
    <row r="24" spans="1:17" ht="18" customHeight="1">
      <c r="A24" s="110" t="s">
        <v>299</v>
      </c>
      <c r="B24" s="963" t="s">
        <v>300</v>
      </c>
      <c r="C24" s="964"/>
      <c r="D24" s="964"/>
      <c r="E24" s="964"/>
      <c r="F24" s="964"/>
      <c r="G24" s="965"/>
      <c r="H24" s="969">
        <v>0.5</v>
      </c>
      <c r="I24" s="970"/>
      <c r="J24" s="970"/>
      <c r="K24" s="971"/>
      <c r="L24" s="963" t="s">
        <v>286</v>
      </c>
      <c r="M24" s="964"/>
      <c r="N24" s="964"/>
      <c r="O24" s="964"/>
      <c r="P24" s="964"/>
      <c r="Q24" s="965"/>
    </row>
    <row r="25" spans="1:17" ht="18" customHeight="1" thickBot="1">
      <c r="A25" s="278" t="s">
        <v>301</v>
      </c>
      <c r="B25" s="966" t="s">
        <v>302</v>
      </c>
      <c r="C25" s="967"/>
      <c r="D25" s="967"/>
      <c r="E25" s="967"/>
      <c r="F25" s="967"/>
      <c r="G25" s="968"/>
      <c r="H25" s="972">
        <f>IF(NOT(ISNUMBER('Project Description'!C48)),0,H22*H23*H24)</f>
        <v>0</v>
      </c>
      <c r="I25" s="973"/>
      <c r="J25" s="973"/>
      <c r="K25" s="974"/>
      <c r="L25" s="966" t="s">
        <v>303</v>
      </c>
      <c r="M25" s="967"/>
      <c r="N25" s="967"/>
      <c r="O25" s="967"/>
      <c r="P25" s="967"/>
      <c r="Q25" s="968"/>
    </row>
    <row r="26" spans="1:17" s="499" customFormat="1" ht="15" thickBot="1">
      <c r="A26" s="259"/>
      <c r="B26" s="260"/>
      <c r="C26" s="260"/>
      <c r="D26" s="260"/>
      <c r="E26" s="260"/>
      <c r="F26" s="260"/>
      <c r="G26" s="260"/>
      <c r="H26" s="508"/>
      <c r="I26" s="508"/>
      <c r="J26" s="508"/>
      <c r="K26" s="508"/>
      <c r="L26" s="509"/>
      <c r="M26" s="509"/>
      <c r="N26" s="509"/>
      <c r="O26" s="509"/>
      <c r="P26" s="509"/>
      <c r="Q26" s="509"/>
    </row>
    <row r="27" spans="1:17" s="497" customFormat="1" ht="16" thickBot="1">
      <c r="A27" s="794" t="s">
        <v>304</v>
      </c>
      <c r="B27" s="795"/>
      <c r="C27" s="795"/>
      <c r="D27" s="795"/>
      <c r="E27" s="795"/>
      <c r="F27" s="795"/>
      <c r="G27" s="795"/>
      <c r="H27" s="795"/>
      <c r="I27" s="795"/>
      <c r="J27" s="795"/>
      <c r="K27" s="795"/>
      <c r="L27" s="795"/>
      <c r="M27" s="795"/>
      <c r="N27" s="795"/>
      <c r="O27" s="795"/>
      <c r="P27" s="795"/>
      <c r="Q27" s="796"/>
    </row>
    <row r="28" spans="1:17" ht="24.75" customHeight="1">
      <c r="A28" s="110"/>
      <c r="B28" s="450"/>
      <c r="C28" s="451"/>
      <c r="D28" s="451"/>
      <c r="E28" s="451"/>
      <c r="F28" s="451"/>
      <c r="G28" s="452"/>
      <c r="H28" s="1044" t="str">
        <f>'Travel Forecasts for Evaluation'!D8</f>
        <v>Current Year ()</v>
      </c>
      <c r="I28" s="1045"/>
      <c r="J28" s="1067" t="str">
        <f>'Travel Forecasts for Evaluation'!E8</f>
        <v>Horizon (None)</v>
      </c>
      <c r="K28" s="1068"/>
      <c r="L28" s="111"/>
      <c r="M28" s="112"/>
      <c r="N28" s="112"/>
      <c r="O28" s="112"/>
      <c r="P28" s="112"/>
      <c r="Q28" s="113"/>
    </row>
    <row r="29" spans="1:17" ht="14.5">
      <c r="A29" s="110">
        <f>A11+1</f>
        <v>5</v>
      </c>
      <c r="B29" s="1038" t="s">
        <v>305</v>
      </c>
      <c r="C29" s="1039"/>
      <c r="D29" s="1039"/>
      <c r="E29" s="1039"/>
      <c r="F29" s="1039"/>
      <c r="G29" s="1040"/>
      <c r="H29" s="1046" t="str">
        <f>IF(OR(H8="(Select…)",H9="(Select…)",H10="(Select…)",H11="(Select…)"),"-",G51+G67+G85+G101+G118+G134+G151+G166)</f>
        <v>-</v>
      </c>
      <c r="I29" s="1047"/>
      <c r="J29" s="1048" t="str">
        <f>IF(H29="-",H29,IF(OR('Project Description'!C96="None",'Project Description'!$C$92="Yes"),"---",IF('Project Description'!C96="10 Years",L51+L67+L85+L101+L118+L134+L151+L166,IF('Project Description'!C96="20 Years",Q51+Q67+Q85+Q101+Q118+Q134+Q151+Q166,"-"))))</f>
        <v>-</v>
      </c>
      <c r="K29" s="1049"/>
      <c r="L29" s="1053" t="s">
        <v>306</v>
      </c>
      <c r="M29" s="1054"/>
      <c r="N29" s="1054"/>
      <c r="O29" s="1054"/>
      <c r="P29" s="1054"/>
      <c r="Q29" s="1055"/>
    </row>
    <row r="30" spans="1:17" ht="14.5">
      <c r="A30" s="110">
        <f>A29+1</f>
        <v>6</v>
      </c>
      <c r="B30" s="1038" t="s">
        <v>307</v>
      </c>
      <c r="C30" s="1039"/>
      <c r="D30" s="1039"/>
      <c r="E30" s="1039"/>
      <c r="F30" s="1039"/>
      <c r="G30" s="1040"/>
      <c r="H30" s="1046" t="str">
        <f>IF(H29="-",H29,'Mobility Cost Eff &amp; Cong Relief'!C19)</f>
        <v>-</v>
      </c>
      <c r="I30" s="1047"/>
      <c r="J30" s="1048" t="str">
        <f>IF('Project Description'!$C$92="Yes","---",IF(H29="-",H29,'Mobility Cost Eff &amp; Cong Relief'!D19))</f>
        <v>-</v>
      </c>
      <c r="K30" s="1049"/>
      <c r="L30" s="111" t="s">
        <v>308</v>
      </c>
      <c r="M30" s="112"/>
      <c r="N30" s="112"/>
      <c r="O30" s="112"/>
      <c r="P30" s="112"/>
      <c r="Q30" s="113"/>
    </row>
    <row r="31" spans="1:17" ht="14.5">
      <c r="A31" s="110">
        <f t="shared" ref="A31:A32" si="1">A30+1</f>
        <v>7</v>
      </c>
      <c r="B31" s="1038" t="s">
        <v>309</v>
      </c>
      <c r="C31" s="1039"/>
      <c r="D31" s="1039"/>
      <c r="E31" s="1039"/>
      <c r="F31" s="1039"/>
      <c r="G31" s="1040"/>
      <c r="H31" s="1056" t="str">
        <f>IF(H29="-",H29,IF(H30=0,0,H29/H30))</f>
        <v>-</v>
      </c>
      <c r="I31" s="1057"/>
      <c r="J31" s="1058" t="str">
        <f>IF('Project Description'!$C$92="Yes","---",IF(OR(H29="-",'Project Description'!C96="(Select…)"),"-",IF(J30=0,0,IF('Project Description'!C96="None","---",J29/J30))))</f>
        <v>-</v>
      </c>
      <c r="K31" s="1059"/>
      <c r="L31" s="111" t="s">
        <v>310</v>
      </c>
      <c r="M31" s="112"/>
      <c r="N31" s="112"/>
      <c r="O31" s="112"/>
      <c r="P31" s="112"/>
      <c r="Q31" s="113"/>
    </row>
    <row r="32" spans="1:17" ht="51.75" customHeight="1" thickBot="1">
      <c r="A32" s="114">
        <f t="shared" si="1"/>
        <v>8</v>
      </c>
      <c r="B32" s="1041" t="s">
        <v>182</v>
      </c>
      <c r="C32" s="1042"/>
      <c r="D32" s="1042"/>
      <c r="E32" s="1042"/>
      <c r="F32" s="1042"/>
      <c r="G32" s="1043"/>
      <c r="H32" s="1064" t="str">
        <f>IF(OR(H29="-",J29="-"),"-",IF(AND(H31=0,J31=0),0,IF(OR('Project Description'!C96="10 Years",'Project Description'!C96="20 Years"),AVERAGE(H31,J31),H31)))</f>
        <v>-</v>
      </c>
      <c r="I32" s="1065"/>
      <c r="J32" s="1065"/>
      <c r="K32" s="1066"/>
      <c r="L32" s="1006" t="s">
        <v>311</v>
      </c>
      <c r="M32" s="1007"/>
      <c r="N32" s="1007"/>
      <c r="O32" s="1007"/>
      <c r="P32" s="1007"/>
      <c r="Q32" s="1008"/>
    </row>
    <row r="33" spans="1:18" ht="14.15" customHeight="1" thickBot="1">
      <c r="A33" s="259"/>
      <c r="B33" s="260"/>
      <c r="C33" s="260"/>
      <c r="D33" s="260"/>
      <c r="E33" s="260"/>
      <c r="F33" s="260"/>
      <c r="G33" s="260"/>
      <c r="H33" s="1050" t="str">
        <f>IF(Lookups!$K$20="No",doesntMeetThresholds,IF(OR(Lookups!$K$20="Unknown",H32=0,H32="-"),"",VLOOKUP(H32,Lookups!B28:C32,2)))</f>
        <v/>
      </c>
      <c r="I33" s="1051"/>
      <c r="J33" s="1051"/>
      <c r="K33" s="1052"/>
      <c r="L33" s="260"/>
      <c r="M33" s="260"/>
      <c r="N33" s="260"/>
      <c r="O33" s="260"/>
      <c r="P33" s="260"/>
      <c r="Q33" s="260"/>
    </row>
    <row r="34" spans="1:18" s="497" customFormat="1" ht="14.15" customHeight="1" thickBot="1">
      <c r="A34" s="259"/>
      <c r="B34" s="260"/>
      <c r="C34" s="260"/>
      <c r="D34" s="260"/>
      <c r="E34" s="260"/>
      <c r="F34" s="260"/>
      <c r="G34" s="260"/>
      <c r="H34" s="261"/>
      <c r="I34" s="261"/>
      <c r="J34" s="261"/>
      <c r="K34" s="261"/>
      <c r="L34" s="260"/>
      <c r="M34" s="260"/>
      <c r="N34" s="260"/>
      <c r="O34" s="260"/>
      <c r="P34" s="260"/>
      <c r="Q34" s="260"/>
    </row>
    <row r="35" spans="1:18" ht="20.25" customHeight="1" thickBot="1">
      <c r="A35" s="1022" t="s">
        <v>312</v>
      </c>
      <c r="B35" s="1023"/>
      <c r="C35" s="1023"/>
      <c r="D35" s="1023"/>
      <c r="E35" s="1023"/>
      <c r="F35" s="1023"/>
      <c r="G35" s="1023"/>
      <c r="H35" s="1023"/>
      <c r="I35" s="1023"/>
      <c r="J35" s="1023"/>
      <c r="K35" s="1023"/>
      <c r="L35" s="1023"/>
      <c r="M35" s="1023"/>
      <c r="N35" s="1023"/>
      <c r="O35" s="1023"/>
      <c r="P35" s="1023"/>
      <c r="Q35" s="1024"/>
    </row>
    <row r="36" spans="1:18" ht="16" thickBot="1">
      <c r="A36" s="1060" t="s">
        <v>313</v>
      </c>
      <c r="B36" s="1061"/>
      <c r="C36" s="1061"/>
      <c r="D36" s="1061"/>
      <c r="E36" s="1061"/>
      <c r="F36" s="1061"/>
      <c r="G36" s="1061"/>
      <c r="H36" s="1061"/>
      <c r="I36" s="1061"/>
      <c r="J36" s="1061"/>
      <c r="K36" s="1061"/>
      <c r="L36" s="1061"/>
      <c r="M36" s="1061"/>
      <c r="N36" s="1061"/>
      <c r="O36" s="1061"/>
      <c r="P36" s="1061"/>
      <c r="Q36" s="1062"/>
      <c r="R36" s="236"/>
    </row>
    <row r="37" spans="1:18" s="100" customFormat="1" ht="16" thickBot="1">
      <c r="A37" s="1063"/>
      <c r="B37" s="1063"/>
      <c r="C37" s="1063"/>
      <c r="D37" s="1063"/>
      <c r="E37" s="1063"/>
      <c r="F37" s="1063"/>
      <c r="G37" s="1063"/>
      <c r="H37" s="1063"/>
      <c r="I37" s="1063"/>
      <c r="J37" s="1063"/>
      <c r="K37" s="1063"/>
      <c r="L37" s="1063"/>
      <c r="M37" s="236"/>
      <c r="N37" s="236"/>
      <c r="O37" s="236"/>
      <c r="P37" s="236"/>
      <c r="Q37" s="236"/>
      <c r="R37" s="236"/>
    </row>
    <row r="38" spans="1:18" ht="19.5" customHeight="1" thickBot="1">
      <c r="A38" s="1025" t="s">
        <v>314</v>
      </c>
      <c r="B38" s="1026"/>
      <c r="C38" s="1026"/>
      <c r="D38" s="1026"/>
      <c r="E38" s="1026"/>
      <c r="F38" s="1026"/>
      <c r="G38" s="1026"/>
      <c r="H38" s="1026"/>
      <c r="I38" s="1026"/>
      <c r="J38" s="1026"/>
      <c r="K38" s="1026"/>
      <c r="L38" s="1026"/>
      <c r="M38" s="1026"/>
      <c r="N38" s="1026"/>
      <c r="O38" s="1026"/>
      <c r="P38" s="1026"/>
      <c r="Q38" s="1027"/>
      <c r="R38" s="236"/>
    </row>
    <row r="39" spans="1:18" s="487" customFormat="1" ht="15.5">
      <c r="A39" s="1028" t="s">
        <v>83</v>
      </c>
      <c r="B39" s="1030" t="s">
        <v>315</v>
      </c>
      <c r="C39" s="1032" t="s">
        <v>33</v>
      </c>
      <c r="D39" s="1033"/>
      <c r="E39" s="1033"/>
      <c r="F39" s="1033"/>
      <c r="G39" s="1034"/>
      <c r="H39" s="1033" t="s">
        <v>316</v>
      </c>
      <c r="I39" s="1033"/>
      <c r="J39" s="1033"/>
      <c r="K39" s="1033"/>
      <c r="L39" s="1033"/>
      <c r="M39" s="1032" t="s">
        <v>317</v>
      </c>
      <c r="N39" s="1033"/>
      <c r="O39" s="1033"/>
      <c r="P39" s="1033"/>
      <c r="Q39" s="1034"/>
      <c r="R39" s="396"/>
    </row>
    <row r="40" spans="1:18" s="487" customFormat="1" ht="60" customHeight="1">
      <c r="A40" s="1029"/>
      <c r="B40" s="1031"/>
      <c r="C40" s="116" t="s">
        <v>318</v>
      </c>
      <c r="D40" s="117" t="s">
        <v>319</v>
      </c>
      <c r="E40" s="117" t="s">
        <v>320</v>
      </c>
      <c r="F40" s="118" t="s">
        <v>321</v>
      </c>
      <c r="G40" s="119" t="s">
        <v>322</v>
      </c>
      <c r="H40" s="120" t="s">
        <v>318</v>
      </c>
      <c r="I40" s="117" t="s">
        <v>319</v>
      </c>
      <c r="J40" s="117" t="s">
        <v>320</v>
      </c>
      <c r="K40" s="118" t="s">
        <v>321</v>
      </c>
      <c r="L40" s="119" t="s">
        <v>322</v>
      </c>
      <c r="M40" s="116" t="s">
        <v>318</v>
      </c>
      <c r="N40" s="117" t="s">
        <v>319</v>
      </c>
      <c r="O40" s="117" t="s">
        <v>320</v>
      </c>
      <c r="P40" s="118" t="s">
        <v>321</v>
      </c>
      <c r="Q40" s="119" t="s">
        <v>322</v>
      </c>
      <c r="R40" s="396"/>
    </row>
    <row r="41" spans="1:18" s="487" customFormat="1" ht="18" customHeight="1">
      <c r="A41" s="121">
        <f>A32+1</f>
        <v>9</v>
      </c>
      <c r="B41" s="122" t="s">
        <v>126</v>
      </c>
      <c r="C41" s="123">
        <f>IF('Project Description'!$C$92="Yes",H25,-'Travel Forecasts for Evaluation'!M31)</f>
        <v>0</v>
      </c>
      <c r="D41" s="124">
        <v>1.677E-2</v>
      </c>
      <c r="E41" s="125">
        <f>C41*D41</f>
        <v>0</v>
      </c>
      <c r="F41" s="126" t="str">
        <f t="shared" ref="F41:F50" si="2">IF($H$8="Attainment",0.08,IF($H$8="Maintenance",0.1,IF($H$8="Nonattainment",0.12,"-")))</f>
        <v>-</v>
      </c>
      <c r="G41" s="127" t="str">
        <f t="shared" ref="G41:G50" si="3">IF($H$8="(Select…)","-",E41*F41)</f>
        <v>-</v>
      </c>
      <c r="H41" s="128" t="str">
        <f>IF('Project Description'!$C$96="10 Years",-'Travel Forecasts for Evaluation'!N31,"---")</f>
        <v>---</v>
      </c>
      <c r="I41" s="129">
        <v>1.1460000000000001E-2</v>
      </c>
      <c r="J41" s="125" t="str">
        <f>IF('Project Description'!$C$96="10 Years",H41*I41,"---")</f>
        <v>---</v>
      </c>
      <c r="K41" s="126" t="str">
        <f t="shared" ref="K41:K50" si="4">IF($H$8="Attainment",0.08,IF($H$8="Maintenance",0.1,IF($H$8="Nonattainment",0.12,"-")))</f>
        <v>-</v>
      </c>
      <c r="L41" s="127" t="str">
        <f>IF($H$8="(Select…)","-",IF('Project Description'!$C$96="10 Years",J41*K41,"---"))</f>
        <v>-</v>
      </c>
      <c r="M41" s="123" t="str">
        <f>IF('Project Description'!$C$96="20 Years",-'Travel Forecasts for Evaluation'!N31,"---")</f>
        <v>---</v>
      </c>
      <c r="N41" s="129">
        <v>1.026E-2</v>
      </c>
      <c r="O41" s="125" t="str">
        <f>IF('Project Description'!$C$96="20 Years",M41*N41,"---")</f>
        <v>---</v>
      </c>
      <c r="P41" s="130" t="str">
        <f t="shared" ref="P41:P50" si="5">IF($H$8="Attainment",0.08,IF($H$8="Maintenance",0.1,IF($H$8="Nonattainment",0.12,"-")))</f>
        <v>-</v>
      </c>
      <c r="Q41" s="127" t="str">
        <f>IF($H$8="(Select…)","-",IF('Project Description'!$C$96="20 Years",O41*P41,"---"))</f>
        <v>-</v>
      </c>
      <c r="R41" s="396"/>
    </row>
    <row r="42" spans="1:18" s="487" customFormat="1" ht="18" customHeight="1">
      <c r="A42" s="131">
        <f>A41+1</f>
        <v>10</v>
      </c>
      <c r="B42" s="132" t="s">
        <v>323</v>
      </c>
      <c r="C42" s="133">
        <f>-'Travel Forecasts for Evaluation'!M32</f>
        <v>0</v>
      </c>
      <c r="D42" s="134">
        <v>5.8300000000000001E-3</v>
      </c>
      <c r="E42" s="135">
        <f t="shared" ref="E42:E50" si="6">C42*D42</f>
        <v>0</v>
      </c>
      <c r="F42" s="136" t="str">
        <f t="shared" si="2"/>
        <v>-</v>
      </c>
      <c r="G42" s="137" t="str">
        <f t="shared" si="3"/>
        <v>-</v>
      </c>
      <c r="H42" s="138" t="str">
        <f>IF('Project Description'!$C$96="10 Years",-'Travel Forecasts for Evaluation'!N32,"---")</f>
        <v>---</v>
      </c>
      <c r="I42" s="139">
        <v>3.2599999999999999E-3</v>
      </c>
      <c r="J42" s="135" t="str">
        <f>IF('Project Description'!$C$96="10 Years",H42*I42,"---")</f>
        <v>---</v>
      </c>
      <c r="K42" s="136" t="str">
        <f t="shared" si="4"/>
        <v>-</v>
      </c>
      <c r="L42" s="137" t="str">
        <f>IF($H$8="(Select…)","-",IF('Project Description'!$C$96="10 Years",J42*K42,"---"))</f>
        <v>-</v>
      </c>
      <c r="M42" s="133" t="str">
        <f>IF('Project Description'!$C$96="20 Years",-'Travel Forecasts for Evaluation'!N32,"---")</f>
        <v>---</v>
      </c>
      <c r="N42" s="139">
        <v>2.8900000000000002E-3</v>
      </c>
      <c r="O42" s="135" t="str">
        <f>IF('Project Description'!$C$96="20 Years",M42*N42,"---")</f>
        <v>---</v>
      </c>
      <c r="P42" s="140" t="str">
        <f t="shared" si="5"/>
        <v>-</v>
      </c>
      <c r="Q42" s="141" t="str">
        <f>IF($H$8="(Select…)","-",IF('Project Description'!$C$96="20 Years",O42*P42,"---"))</f>
        <v>-</v>
      </c>
      <c r="R42" s="396"/>
    </row>
    <row r="43" spans="1:18" s="487" customFormat="1" ht="18" customHeight="1">
      <c r="A43" s="131">
        <f t="shared" ref="A43:A51" si="7">A42+1</f>
        <v>11</v>
      </c>
      <c r="B43" s="132" t="s">
        <v>324</v>
      </c>
      <c r="C43" s="133">
        <f>-'Travel Forecasts for Evaluation'!M33</f>
        <v>0</v>
      </c>
      <c r="D43" s="134">
        <v>5.8300000000000001E-3</v>
      </c>
      <c r="E43" s="135">
        <f t="shared" si="6"/>
        <v>0</v>
      </c>
      <c r="F43" s="136" t="str">
        <f t="shared" si="2"/>
        <v>-</v>
      </c>
      <c r="G43" s="137" t="str">
        <f t="shared" si="3"/>
        <v>-</v>
      </c>
      <c r="H43" s="138" t="str">
        <f>IF('Project Description'!$C$96="10 Years",-'Travel Forecasts for Evaluation'!N33,"---")</f>
        <v>---</v>
      </c>
      <c r="I43" s="139">
        <v>3.2599999999999999E-3</v>
      </c>
      <c r="J43" s="135" t="str">
        <f>IF('Project Description'!$C$96="10 Years",H43*I43,"---")</f>
        <v>---</v>
      </c>
      <c r="K43" s="136" t="str">
        <f t="shared" si="4"/>
        <v>-</v>
      </c>
      <c r="L43" s="137" t="str">
        <f>IF($H$8="(Select…)","-",IF('Project Description'!$C$96="10 Years",J43*K43,"---"))</f>
        <v>-</v>
      </c>
      <c r="M43" s="133" t="str">
        <f>IF('Project Description'!$C$96="20 Years",-'Travel Forecasts for Evaluation'!N33,"---")</f>
        <v>---</v>
      </c>
      <c r="N43" s="139">
        <v>2.8900000000000002E-3</v>
      </c>
      <c r="O43" s="135" t="str">
        <f>IF('Project Description'!$C$96="20 Years",M43*N43,"---")</f>
        <v>---</v>
      </c>
      <c r="P43" s="140" t="str">
        <f t="shared" si="5"/>
        <v>-</v>
      </c>
      <c r="Q43" s="141" t="str">
        <f>IF($H$8="(Select…)","-",IF('Project Description'!$C$96="20 Years",O43*P43,"---"))</f>
        <v>-</v>
      </c>
      <c r="R43" s="396"/>
    </row>
    <row r="44" spans="1:18" s="487" customFormat="1" ht="18" customHeight="1">
      <c r="A44" s="131">
        <f t="shared" si="7"/>
        <v>12</v>
      </c>
      <c r="B44" s="132" t="s">
        <v>325</v>
      </c>
      <c r="C44" s="133">
        <f>-'Travel Forecasts for Evaluation'!M34</f>
        <v>0</v>
      </c>
      <c r="D44" s="134">
        <v>3.9619999999999995E-2</v>
      </c>
      <c r="E44" s="135">
        <f t="shared" si="6"/>
        <v>0</v>
      </c>
      <c r="F44" s="136" t="str">
        <f t="shared" si="2"/>
        <v>-</v>
      </c>
      <c r="G44" s="137" t="str">
        <f t="shared" si="3"/>
        <v>-</v>
      </c>
      <c r="H44" s="138" t="str">
        <f>IF('Project Description'!$C$96="10 Years",-'Travel Forecasts for Evaluation'!N34,"---")</f>
        <v>---</v>
      </c>
      <c r="I44" s="139">
        <v>2.0300000000000002E-2</v>
      </c>
      <c r="J44" s="135" t="str">
        <f>IF('Project Description'!$C$96="10 Years",H44*I44,"---")</f>
        <v>---</v>
      </c>
      <c r="K44" s="136" t="str">
        <f t="shared" si="4"/>
        <v>-</v>
      </c>
      <c r="L44" s="137" t="str">
        <f>IF($H$8="(Select…)","-",IF('Project Description'!$C$96="10 Years",J44*K44,"---"))</f>
        <v>-</v>
      </c>
      <c r="M44" s="133" t="str">
        <f>IF('Project Description'!$C$96="20 Years",-'Travel Forecasts for Evaluation'!N34,"---")</f>
        <v>---</v>
      </c>
      <c r="N44" s="139">
        <v>1.7160000000000002E-2</v>
      </c>
      <c r="O44" s="135" t="str">
        <f>IF('Project Description'!$C$96="20 Years",M44*N44,"---")</f>
        <v>---</v>
      </c>
      <c r="P44" s="140" t="str">
        <f t="shared" si="5"/>
        <v>-</v>
      </c>
      <c r="Q44" s="141" t="str">
        <f>IF($H$8="(Select…)","-",IF('Project Description'!$C$96="20 Years",O44*P44,"---"))</f>
        <v>-</v>
      </c>
      <c r="R44" s="396"/>
    </row>
    <row r="45" spans="1:18" s="487" customFormat="1" ht="18" customHeight="1">
      <c r="A45" s="131">
        <f t="shared" si="7"/>
        <v>13</v>
      </c>
      <c r="B45" s="132" t="s">
        <v>326</v>
      </c>
      <c r="C45" s="133">
        <f>-'Travel Forecasts for Evaluation'!M35</f>
        <v>0</v>
      </c>
      <c r="D45" s="134">
        <v>6.45E-3</v>
      </c>
      <c r="E45" s="135">
        <f t="shared" si="6"/>
        <v>0</v>
      </c>
      <c r="F45" s="136" t="str">
        <f t="shared" si="2"/>
        <v>-</v>
      </c>
      <c r="G45" s="137" t="str">
        <f t="shared" si="3"/>
        <v>-</v>
      </c>
      <c r="H45" s="138" t="str">
        <f>IF('Project Description'!$C$96="10 Years",-'Travel Forecasts for Evaluation'!N35,"---")</f>
        <v>---</v>
      </c>
      <c r="I45" s="139">
        <v>5.3899999999999998E-3</v>
      </c>
      <c r="J45" s="135" t="str">
        <f>IF('Project Description'!$C$96="10 Years",H45*I45,"---")</f>
        <v>---</v>
      </c>
      <c r="K45" s="136" t="str">
        <f t="shared" si="4"/>
        <v>-</v>
      </c>
      <c r="L45" s="137" t="str">
        <f>IF($H$8="(Select…)","-",IF('Project Description'!$C$96="10 Years",J45*K45,"---"))</f>
        <v>-</v>
      </c>
      <c r="M45" s="133" t="str">
        <f>IF('Project Description'!$C$96="20 Years",-'Travel Forecasts for Evaluation'!N35,"---")</f>
        <v>---</v>
      </c>
      <c r="N45" s="139">
        <v>5.0400000000000002E-3</v>
      </c>
      <c r="O45" s="135" t="str">
        <f>IF('Project Description'!$C$96="20 Years",M45*N45,"---")</f>
        <v>---</v>
      </c>
      <c r="P45" s="140" t="str">
        <f t="shared" si="5"/>
        <v>-</v>
      </c>
      <c r="Q45" s="141" t="str">
        <f>IF($H$8="(Select…)","-",IF('Project Description'!$C$96="20 Years",O45*P45,"---"))</f>
        <v>-</v>
      </c>
      <c r="R45" s="396"/>
    </row>
    <row r="46" spans="1:18" s="487" customFormat="1" ht="18" customHeight="1">
      <c r="A46" s="131">
        <f t="shared" si="7"/>
        <v>14</v>
      </c>
      <c r="B46" s="132" t="s">
        <v>327</v>
      </c>
      <c r="C46" s="133">
        <f>-'Travel Forecasts for Evaluation'!M36</f>
        <v>0</v>
      </c>
      <c r="D46" s="134">
        <v>7.0599999999999994E-3</v>
      </c>
      <c r="E46" s="135">
        <f t="shared" si="6"/>
        <v>0</v>
      </c>
      <c r="F46" s="136" t="str">
        <f t="shared" si="2"/>
        <v>-</v>
      </c>
      <c r="G46" s="137" t="str">
        <f t="shared" si="3"/>
        <v>-</v>
      </c>
      <c r="H46" s="138" t="str">
        <f>IF('Project Description'!$C$96="10 Years",-'Travel Forecasts for Evaluation'!N36,"---")</f>
        <v>---</v>
      </c>
      <c r="I46" s="139">
        <v>6.8499999999999993E-3</v>
      </c>
      <c r="J46" s="135" t="str">
        <f>IF('Project Description'!$C$96="10 Years",H46*I46,"---")</f>
        <v>---</v>
      </c>
      <c r="K46" s="136" t="str">
        <f t="shared" si="4"/>
        <v>-</v>
      </c>
      <c r="L46" s="137" t="str">
        <f>IF($H$8="(Select…)","-",IF('Project Description'!$C$96="10 Years",J46*K46,"---"))</f>
        <v>-</v>
      </c>
      <c r="M46" s="133" t="str">
        <f>IF('Project Description'!$C$96="20 Years",-'Travel Forecasts for Evaluation'!N36,"---")</f>
        <v>---</v>
      </c>
      <c r="N46" s="139">
        <v>6.7300000000000007E-3</v>
      </c>
      <c r="O46" s="135" t="str">
        <f>IF('Project Description'!$C$96="20 Years",M46*N46,"---")</f>
        <v>---</v>
      </c>
      <c r="P46" s="140" t="str">
        <f t="shared" si="5"/>
        <v>-</v>
      </c>
      <c r="Q46" s="141" t="str">
        <f>IF($H$8="(Select…)","-",IF('Project Description'!$C$96="20 Years",O46*P46,"---"))</f>
        <v>-</v>
      </c>
      <c r="R46" s="396"/>
    </row>
    <row r="47" spans="1:18" s="487" customFormat="1" ht="18" customHeight="1">
      <c r="A47" s="131">
        <f t="shared" si="7"/>
        <v>15</v>
      </c>
      <c r="B47" s="132" t="s">
        <v>328</v>
      </c>
      <c r="C47" s="133">
        <f>-'Travel Forecasts for Evaluation'!M37</f>
        <v>0</v>
      </c>
      <c r="D47" s="134">
        <v>1.051E-2</v>
      </c>
      <c r="E47" s="135">
        <f t="shared" si="6"/>
        <v>0</v>
      </c>
      <c r="F47" s="136" t="str">
        <f t="shared" si="2"/>
        <v>-</v>
      </c>
      <c r="G47" s="137" t="str">
        <f t="shared" si="3"/>
        <v>-</v>
      </c>
      <c r="H47" s="138" t="str">
        <f>IF('Project Description'!$C$96="10 Years",-'Travel Forecasts for Evaluation'!N37,"---")</f>
        <v>---</v>
      </c>
      <c r="I47" s="139">
        <v>1.0199999999999999E-2</v>
      </c>
      <c r="J47" s="135" t="str">
        <f>IF('Project Description'!$C$96="10 Years",H47*I47,"---")</f>
        <v>---</v>
      </c>
      <c r="K47" s="136" t="str">
        <f t="shared" si="4"/>
        <v>-</v>
      </c>
      <c r="L47" s="137" t="str">
        <f>IF($H$8="(Select…)","-",IF('Project Description'!$C$96="10 Years",J47*K47,"---"))</f>
        <v>-</v>
      </c>
      <c r="M47" s="133" t="str">
        <f>IF('Project Description'!$C$96="20 Years",-'Travel Forecasts for Evaluation'!N37,"---")</f>
        <v>---</v>
      </c>
      <c r="N47" s="139">
        <v>1.001E-2</v>
      </c>
      <c r="O47" s="135" t="str">
        <f>IF('Project Description'!$C$96="20 Years",M47*N47,"---")</f>
        <v>---</v>
      </c>
      <c r="P47" s="140" t="str">
        <f t="shared" si="5"/>
        <v>-</v>
      </c>
      <c r="Q47" s="141" t="str">
        <f>IF($H$8="(Select…)","-",IF('Project Description'!$C$96="20 Years",O47*P47,"---"))</f>
        <v>-</v>
      </c>
      <c r="R47" s="396"/>
    </row>
    <row r="48" spans="1:18" s="487" customFormat="1" ht="26">
      <c r="A48" s="131">
        <f t="shared" si="7"/>
        <v>16</v>
      </c>
      <c r="B48" s="132" t="s">
        <v>329</v>
      </c>
      <c r="C48" s="133">
        <f>-'Travel Forecasts for Evaluation'!M38</f>
        <v>0</v>
      </c>
      <c r="D48" s="134">
        <v>1.6800000000000002E-2</v>
      </c>
      <c r="E48" s="135">
        <f t="shared" si="6"/>
        <v>0</v>
      </c>
      <c r="F48" s="136" t="str">
        <f t="shared" si="2"/>
        <v>-</v>
      </c>
      <c r="G48" s="137" t="str">
        <f t="shared" si="3"/>
        <v>-</v>
      </c>
      <c r="H48" s="138" t="str">
        <f>IF('Project Description'!$C$96="10 Years",-'Travel Forecasts for Evaluation'!N38,"---")</f>
        <v>---</v>
      </c>
      <c r="I48" s="139">
        <v>1.6800000000000002E-2</v>
      </c>
      <c r="J48" s="135" t="str">
        <f>IF('Project Description'!$C$96="10 Years",H48*I48,"---")</f>
        <v>---</v>
      </c>
      <c r="K48" s="136" t="str">
        <f t="shared" si="4"/>
        <v>-</v>
      </c>
      <c r="L48" s="137" t="str">
        <f>IF($H$8="(Select…)","-",IF('Project Description'!$C$96="10 Years",J48*K48,"---"))</f>
        <v>-</v>
      </c>
      <c r="M48" s="133" t="str">
        <f>IF('Project Description'!$C$96="20 Years",-'Travel Forecasts for Evaluation'!N38,"---")</f>
        <v>---</v>
      </c>
      <c r="N48" s="139">
        <v>1.6800000000000002E-2</v>
      </c>
      <c r="O48" s="135" t="str">
        <f>IF('Project Description'!$C$96="20 Years",M48*N48,"---")</f>
        <v>---</v>
      </c>
      <c r="P48" s="140" t="str">
        <f t="shared" si="5"/>
        <v>-</v>
      </c>
      <c r="Q48" s="141" t="str">
        <f>IF($H$8="(Select…)","-",IF('Project Description'!$C$96="20 Years",O48*P48,"---"))</f>
        <v>-</v>
      </c>
      <c r="R48" s="396"/>
    </row>
    <row r="49" spans="1:18" s="487" customFormat="1" ht="26">
      <c r="A49" s="131">
        <f t="shared" si="7"/>
        <v>17</v>
      </c>
      <c r="B49" s="132" t="s">
        <v>330</v>
      </c>
      <c r="C49" s="133">
        <f>-'Travel Forecasts for Evaluation'!M39</f>
        <v>0</v>
      </c>
      <c r="D49" s="134">
        <v>1.6800000000000002E-2</v>
      </c>
      <c r="E49" s="135">
        <f t="shared" si="6"/>
        <v>0</v>
      </c>
      <c r="F49" s="136" t="str">
        <f t="shared" si="2"/>
        <v>-</v>
      </c>
      <c r="G49" s="137" t="str">
        <f t="shared" si="3"/>
        <v>-</v>
      </c>
      <c r="H49" s="138" t="str">
        <f>IF('Project Description'!$C$96="10 Years",-'Travel Forecasts for Evaluation'!N39,"---")</f>
        <v>---</v>
      </c>
      <c r="I49" s="139">
        <v>1.6800000000000002E-2</v>
      </c>
      <c r="J49" s="135" t="str">
        <f>IF('Project Description'!$C$96="10 Years",H49*I49,"---")</f>
        <v>---</v>
      </c>
      <c r="K49" s="136" t="str">
        <f t="shared" si="4"/>
        <v>-</v>
      </c>
      <c r="L49" s="137" t="str">
        <f>IF($H$8="(Select…)","-",IF('Project Description'!$C$96="10 Years",J49*K49,"---"))</f>
        <v>-</v>
      </c>
      <c r="M49" s="133" t="str">
        <f>IF('Project Description'!$C$96="20 Years",-'Travel Forecasts for Evaluation'!N39,"---")</f>
        <v>---</v>
      </c>
      <c r="N49" s="139">
        <v>1.6800000000000002E-2</v>
      </c>
      <c r="O49" s="135" t="str">
        <f>IF('Project Description'!$C$96="20 Years",M49*N49,"---")</f>
        <v>---</v>
      </c>
      <c r="P49" s="140" t="str">
        <f t="shared" si="5"/>
        <v>-</v>
      </c>
      <c r="Q49" s="141" t="str">
        <f>IF($H$8="(Select…)","-",IF('Project Description'!$C$96="20 Years",O49*P49,"---"))</f>
        <v>-</v>
      </c>
      <c r="R49" s="396"/>
    </row>
    <row r="50" spans="1:18" s="487" customFormat="1" ht="18" customHeight="1">
      <c r="A50" s="142">
        <f t="shared" si="7"/>
        <v>18</v>
      </c>
      <c r="B50" s="143" t="s">
        <v>331</v>
      </c>
      <c r="C50" s="144">
        <f>-'Travel Forecasts for Evaluation'!M40</f>
        <v>0</v>
      </c>
      <c r="D50" s="145">
        <v>1.281E-2</v>
      </c>
      <c r="E50" s="146">
        <f t="shared" si="6"/>
        <v>0</v>
      </c>
      <c r="F50" s="147" t="str">
        <f t="shared" si="2"/>
        <v>-</v>
      </c>
      <c r="G50" s="148" t="str">
        <f t="shared" si="3"/>
        <v>-</v>
      </c>
      <c r="H50" s="149" t="str">
        <f>IF('Project Description'!$C$96="10 Years",-'Travel Forecasts for Evaluation'!N40,"---")</f>
        <v>---</v>
      </c>
      <c r="I50" s="150">
        <v>1.243E-2</v>
      </c>
      <c r="J50" s="146" t="str">
        <f>IF('Project Description'!$C$96="10 Years",H50*I50,"---")</f>
        <v>---</v>
      </c>
      <c r="K50" s="147" t="str">
        <f t="shared" si="4"/>
        <v>-</v>
      </c>
      <c r="L50" s="148" t="str">
        <f>IF($H$8="(Select…)","-",IF('Project Description'!$C$96="10 Years",J50*K50,"---"))</f>
        <v>-</v>
      </c>
      <c r="M50" s="144" t="str">
        <f>IF('Project Description'!$C$96="20 Years",-'Travel Forecasts for Evaluation'!N40,"---")</f>
        <v>---</v>
      </c>
      <c r="N50" s="150">
        <v>1.2189999999999999E-2</v>
      </c>
      <c r="O50" s="146" t="str">
        <f>IF('Project Description'!$C$96="20 Years",M50*N50,"---")</f>
        <v>---</v>
      </c>
      <c r="P50" s="151" t="str">
        <f t="shared" si="5"/>
        <v>-</v>
      </c>
      <c r="Q50" s="152" t="str">
        <f>IF($H$8="(Select…)","-",IF('Project Description'!$C$96="20 Years",O50*P50,"---"))</f>
        <v>-</v>
      </c>
      <c r="R50" s="396"/>
    </row>
    <row r="51" spans="1:18" ht="16" thickBot="1">
      <c r="A51" s="153">
        <f t="shared" si="7"/>
        <v>19</v>
      </c>
      <c r="B51" s="154" t="s">
        <v>332</v>
      </c>
      <c r="C51" s="155">
        <f>SUM(C41:C50)</f>
        <v>0</v>
      </c>
      <c r="D51" s="156" t="s">
        <v>112</v>
      </c>
      <c r="E51" s="157">
        <f>SUM(E41:E50)</f>
        <v>0</v>
      </c>
      <c r="F51" s="158" t="s">
        <v>112</v>
      </c>
      <c r="G51" s="159">
        <f>SUM(G41:G50)</f>
        <v>0</v>
      </c>
      <c r="H51" s="160" t="str">
        <f>IF('Project Description'!$C$96="10 Years",SUM(H41:H50),"---")</f>
        <v>---</v>
      </c>
      <c r="I51" s="161" t="s">
        <v>112</v>
      </c>
      <c r="J51" s="157" t="str">
        <f>IF('Project Description'!$C$96="10 Years",SUM(J41:J50),"---")</f>
        <v>---</v>
      </c>
      <c r="K51" s="162" t="s">
        <v>112</v>
      </c>
      <c r="L51" s="159" t="str">
        <f>IF('Project Description'!$C$96="10 Years",SUM(L41:L50),"---")</f>
        <v>---</v>
      </c>
      <c r="M51" s="155" t="str">
        <f>IF('Project Description'!$C$96="20 Years",SUM(M41:M50),"---")</f>
        <v>---</v>
      </c>
      <c r="N51" s="161" t="s">
        <v>112</v>
      </c>
      <c r="O51" s="157" t="str">
        <f>IF('Project Description'!$C$96="20 Years",SUM(O41:O50),"---")</f>
        <v>---</v>
      </c>
      <c r="P51" s="162" t="s">
        <v>112</v>
      </c>
      <c r="Q51" s="159" t="str">
        <f>IF('Project Description'!$C$96="20 Years",SUM(Q41:Q50),"---")</f>
        <v>---</v>
      </c>
    </row>
    <row r="52" spans="1:18" s="233" customFormat="1" ht="13">
      <c r="C52" s="234"/>
      <c r="D52" s="234"/>
      <c r="E52" s="235"/>
      <c r="F52" s="235"/>
      <c r="G52" s="235"/>
      <c r="H52" s="235"/>
    </row>
    <row r="53" spans="1:18" s="100" customFormat="1" ht="16" thickBot="1">
      <c r="C53" s="231"/>
      <c r="D53" s="231"/>
      <c r="E53" s="232"/>
      <c r="F53" s="232"/>
      <c r="G53" s="232"/>
      <c r="H53" s="232"/>
    </row>
    <row r="54" spans="1:18" ht="18" thickBot="1">
      <c r="A54" s="1025" t="s">
        <v>333</v>
      </c>
      <c r="B54" s="1026"/>
      <c r="C54" s="1026"/>
      <c r="D54" s="1026"/>
      <c r="E54" s="1026"/>
      <c r="F54" s="1026"/>
      <c r="G54" s="1026"/>
      <c r="H54" s="1026"/>
      <c r="I54" s="1026"/>
      <c r="J54" s="1026"/>
      <c r="K54" s="1026"/>
      <c r="L54" s="1026"/>
      <c r="M54" s="1026"/>
      <c r="N54" s="1026"/>
      <c r="O54" s="1026"/>
      <c r="P54" s="1026"/>
      <c r="Q54" s="1027"/>
      <c r="R54" s="236"/>
    </row>
    <row r="55" spans="1:18" s="487" customFormat="1" ht="15.5">
      <c r="A55" s="1028" t="s">
        <v>83</v>
      </c>
      <c r="B55" s="1030" t="s">
        <v>315</v>
      </c>
      <c r="C55" s="1032" t="s">
        <v>33</v>
      </c>
      <c r="D55" s="1033"/>
      <c r="E55" s="1033"/>
      <c r="F55" s="1033"/>
      <c r="G55" s="1034"/>
      <c r="H55" s="1033" t="s">
        <v>316</v>
      </c>
      <c r="I55" s="1033"/>
      <c r="J55" s="1033"/>
      <c r="K55" s="1033"/>
      <c r="L55" s="1033"/>
      <c r="M55" s="1032" t="s">
        <v>317</v>
      </c>
      <c r="N55" s="1033"/>
      <c r="O55" s="1033"/>
      <c r="P55" s="1033"/>
      <c r="Q55" s="1034"/>
      <c r="R55" s="396"/>
    </row>
    <row r="56" spans="1:18" s="487" customFormat="1" ht="60" customHeight="1">
      <c r="A56" s="1029"/>
      <c r="B56" s="1031"/>
      <c r="C56" s="116" t="s">
        <v>318</v>
      </c>
      <c r="D56" s="117" t="s">
        <v>319</v>
      </c>
      <c r="E56" s="117" t="s">
        <v>320</v>
      </c>
      <c r="F56" s="118" t="s">
        <v>321</v>
      </c>
      <c r="G56" s="119" t="s">
        <v>322</v>
      </c>
      <c r="H56" s="120" t="s">
        <v>318</v>
      </c>
      <c r="I56" s="117" t="s">
        <v>319</v>
      </c>
      <c r="J56" s="117" t="s">
        <v>320</v>
      </c>
      <c r="K56" s="118" t="s">
        <v>321</v>
      </c>
      <c r="L56" s="119" t="s">
        <v>322</v>
      </c>
      <c r="M56" s="116" t="s">
        <v>318</v>
      </c>
      <c r="N56" s="117" t="s">
        <v>319</v>
      </c>
      <c r="O56" s="117" t="s">
        <v>320</v>
      </c>
      <c r="P56" s="118" t="s">
        <v>321</v>
      </c>
      <c r="Q56" s="119" t="s">
        <v>322</v>
      </c>
      <c r="R56" s="396"/>
    </row>
    <row r="57" spans="1:18" s="487" customFormat="1" ht="18" customHeight="1">
      <c r="A57" s="121">
        <f>A51+1</f>
        <v>20</v>
      </c>
      <c r="B57" s="122" t="s">
        <v>126</v>
      </c>
      <c r="C57" s="123">
        <f>IF('Project Description'!$C$92="Yes",H25,-'Travel Forecasts for Evaluation'!M31)</f>
        <v>0</v>
      </c>
      <c r="D57" s="163">
        <v>9.1E-4</v>
      </c>
      <c r="E57" s="125">
        <f>C57*D57</f>
        <v>0</v>
      </c>
      <c r="F57" s="126" t="str">
        <f>IF($H$9="Attainment",12.96,IF($H$9="Maintenance",16.2,IF($H$9="Nonattainment",19.44,"-")))</f>
        <v>-</v>
      </c>
      <c r="G57" s="127" t="str">
        <f>IF($H$9="(Select…)","-",E57*F57)</f>
        <v>-</v>
      </c>
      <c r="H57" s="128" t="str">
        <f>IF('Project Description'!$C$96="10 Years",-'Travel Forecasts for Evaluation'!N31,"---")</f>
        <v>---</v>
      </c>
      <c r="I57" s="163">
        <v>2.8000000000000003E-4</v>
      </c>
      <c r="J57" s="125" t="str">
        <f>IF('Project Description'!$C$96="10 Years",H57*I57,"---")</f>
        <v>---</v>
      </c>
      <c r="K57" s="126" t="str">
        <f>IF($H$9="Attainment",15.66,IF($H$9="Maintenance",19.58,IF($H$9="Nonattainment",23.49,"-")))</f>
        <v>-</v>
      </c>
      <c r="L57" s="127" t="str">
        <f>IF($H$9="(Select…)","-",IF('Project Description'!$C$96="10 Years",J57*K57,"---"))</f>
        <v>-</v>
      </c>
      <c r="M57" s="123" t="str">
        <f>IF('Project Description'!$C$96="20 Years",-'Travel Forecasts for Evaluation'!N31,"---")</f>
        <v>---</v>
      </c>
      <c r="N57" s="163">
        <v>2.0000000000000001E-4</v>
      </c>
      <c r="O57" s="125" t="str">
        <f>IF('Project Description'!$C$96="20 Years",M57*N57,"---")</f>
        <v>---</v>
      </c>
      <c r="P57" s="126" t="str">
        <f>IF($H$9="Attainment",16.2,IF($H$9="Maintenance",20.25,IF($H$9="Nonattainment",24.3,"-")))</f>
        <v>-</v>
      </c>
      <c r="Q57" s="127" t="str">
        <f>IF($H$9="(Select…)","-",IF('Project Description'!$C$96="20 Years",O57*P57,"---"))</f>
        <v>-</v>
      </c>
      <c r="R57" s="396"/>
    </row>
    <row r="58" spans="1:18" s="487" customFormat="1" ht="18" customHeight="1">
      <c r="A58" s="131">
        <f>A57+1</f>
        <v>21</v>
      </c>
      <c r="B58" s="132" t="s">
        <v>323</v>
      </c>
      <c r="C58" s="133">
        <f>-'Travel Forecasts for Evaluation'!M32</f>
        <v>0</v>
      </c>
      <c r="D58" s="164">
        <v>8.6700000000000006E-3</v>
      </c>
      <c r="E58" s="135">
        <f t="shared" ref="E58:E66" si="8">C58*D58</f>
        <v>0</v>
      </c>
      <c r="F58" s="136" t="str">
        <f>IF($H$9="Attainment",12.96,IF($H$9="Maintenance",16.2,IF($H$9="Nonattainment",19.44,"-")))</f>
        <v>-</v>
      </c>
      <c r="G58" s="137" t="str">
        <f t="shared" ref="G58:G66" si="9">IF($H$9="(Select…)","-",E58*F58)</f>
        <v>-</v>
      </c>
      <c r="H58" s="138" t="str">
        <f>IF('Project Description'!$C$96="10 Years",-'Travel Forecasts for Evaluation'!N32,"---")</f>
        <v>---</v>
      </c>
      <c r="I58" s="164">
        <v>2.0800000000000003E-3</v>
      </c>
      <c r="J58" s="135" t="str">
        <f>IF('Project Description'!$C$96="10 Years",H58*I58,"---")</f>
        <v>---</v>
      </c>
      <c r="K58" s="136" t="str">
        <f>IF($H$9="Attainment",15.66,IF($H$9="Maintenance",19.58,IF($H$9="Nonattainment",23.49,"-")))</f>
        <v>-</v>
      </c>
      <c r="L58" s="137" t="str">
        <f>IF($H$9="(Select…)","-",IF('Project Description'!$C$96="10 Years",J58*K58,"---"))</f>
        <v>-</v>
      </c>
      <c r="M58" s="133" t="str">
        <f>IF('Project Description'!$C$96="20 Years",-'Travel Forecasts for Evaluation'!N32,"---")</f>
        <v>---</v>
      </c>
      <c r="N58" s="164">
        <v>1.14E-3</v>
      </c>
      <c r="O58" s="135" t="str">
        <f>IF('Project Description'!$C$96="20 Years",M58*N58,"---")</f>
        <v>---</v>
      </c>
      <c r="P58" s="140" t="str">
        <f>IF($H$9="Attainment",16.2,IF($H$9="Maintenance",20.25,IF($H$9="Nonattainment",24.3,"-")))</f>
        <v>-</v>
      </c>
      <c r="Q58" s="141" t="str">
        <f>IF($H$9="(Select…)","-",IF('Project Description'!$C$96="20 Years",O58*P58,"---"))</f>
        <v>-</v>
      </c>
      <c r="R58" s="396"/>
    </row>
    <row r="59" spans="1:18" s="487" customFormat="1" ht="18" customHeight="1">
      <c r="A59" s="131">
        <f t="shared" ref="A59:A67" si="10">A58+1</f>
        <v>22</v>
      </c>
      <c r="B59" s="132" t="s">
        <v>324</v>
      </c>
      <c r="C59" s="133">
        <f>-'Travel Forecasts for Evaluation'!M33</f>
        <v>0</v>
      </c>
      <c r="D59" s="164">
        <v>8.6700000000000006E-3</v>
      </c>
      <c r="E59" s="135">
        <f t="shared" si="8"/>
        <v>0</v>
      </c>
      <c r="F59" s="136" t="str">
        <f>IF($H$9="Attainment",12.96,IF($H$9="Maintenance",16.2,IF($H$9="Nonattainment",19.44,"-")))</f>
        <v>-</v>
      </c>
      <c r="G59" s="137" t="str">
        <f t="shared" si="9"/>
        <v>-</v>
      </c>
      <c r="H59" s="138" t="str">
        <f>IF('Project Description'!$C$96="10 Years",-'Travel Forecasts for Evaluation'!N33,"---")</f>
        <v>---</v>
      </c>
      <c r="I59" s="164">
        <v>2.0800000000000003E-3</v>
      </c>
      <c r="J59" s="135" t="str">
        <f>IF('Project Description'!$C$96="10 Years",H59*I59,"---")</f>
        <v>---</v>
      </c>
      <c r="K59" s="136" t="str">
        <f>IF($H$9="Attainment",15.66,IF($H$9="Maintenance",19.58,IF($H$9="Nonattainment",23.49,"-")))</f>
        <v>-</v>
      </c>
      <c r="L59" s="137" t="str">
        <f>IF($H$9="(Select…)","-",IF('Project Description'!$C$96="10 Years",J59*K59,"---"))</f>
        <v>-</v>
      </c>
      <c r="M59" s="133" t="str">
        <f>IF('Project Description'!$C$96="20 Years",-'Travel Forecasts for Evaluation'!N33,"---")</f>
        <v>---</v>
      </c>
      <c r="N59" s="164">
        <v>1.14E-3</v>
      </c>
      <c r="O59" s="135" t="str">
        <f>IF('Project Description'!$C$96="20 Years",M59*N59,"---")</f>
        <v>---</v>
      </c>
      <c r="P59" s="140" t="str">
        <f>IF($H$9="Attainment",16.2,IF($H$9="Maintenance",20.25,IF($H$9="Nonattainment",24.3,"-")))</f>
        <v>-</v>
      </c>
      <c r="Q59" s="141" t="str">
        <f>IF($H$9="(Select…)","-",IF('Project Description'!$C$96="20 Years",O59*P59,"---"))</f>
        <v>-</v>
      </c>
      <c r="R59" s="396"/>
    </row>
    <row r="60" spans="1:18" s="487" customFormat="1" ht="18" customHeight="1">
      <c r="A60" s="131">
        <f t="shared" si="10"/>
        <v>23</v>
      </c>
      <c r="B60" s="132" t="s">
        <v>325</v>
      </c>
      <c r="C60" s="133">
        <f>-'Travel Forecasts for Evaluation'!M34</f>
        <v>0</v>
      </c>
      <c r="D60" s="164">
        <v>3.8399999999999997E-3</v>
      </c>
      <c r="E60" s="135">
        <f t="shared" si="8"/>
        <v>0</v>
      </c>
      <c r="F60" s="136" t="str">
        <f>IF($H$9="Attainment",12.96,IF($H$9="Maintenance",16.2,IF($H$9="Nonattainment",19.44,"-")))</f>
        <v>-</v>
      </c>
      <c r="G60" s="137" t="str">
        <f t="shared" si="9"/>
        <v>-</v>
      </c>
      <c r="H60" s="138" t="str">
        <f>IF('Project Description'!$C$96="10 Years",-'Travel Forecasts for Evaluation'!N34,"---")</f>
        <v>---</v>
      </c>
      <c r="I60" s="164">
        <v>3.4100000000000003E-3</v>
      </c>
      <c r="J60" s="135" t="str">
        <f>IF('Project Description'!$C$96="10 Years",H60*I60,"---")</f>
        <v>---</v>
      </c>
      <c r="K60" s="136" t="str">
        <f>IF($H$9="Attainment",15.66,IF($H$9="Maintenance",19.58,IF($H$9="Nonattainment",23.49,"-")))</f>
        <v>-</v>
      </c>
      <c r="L60" s="137" t="str">
        <f>IF($H$9="(Select…)","-",IF('Project Description'!$C$96="10 Years",J60*K60,"---"))</f>
        <v>-</v>
      </c>
      <c r="M60" s="133" t="str">
        <f>IF('Project Description'!$C$96="20 Years",-'Travel Forecasts for Evaluation'!N34,"---")</f>
        <v>---</v>
      </c>
      <c r="N60" s="164">
        <v>3.3500000000000001E-3</v>
      </c>
      <c r="O60" s="135" t="str">
        <f>IF('Project Description'!$C$96="20 Years",M60*N60,"---")</f>
        <v>---</v>
      </c>
      <c r="P60" s="140" t="str">
        <f>IF($H$9="Attainment",16.2,IF($H$9="Maintenance",20.25,IF($H$9="Nonattainment",24.3,"-")))</f>
        <v>-</v>
      </c>
      <c r="Q60" s="141" t="str">
        <f>IF($H$9="(Select…)","-",IF('Project Description'!$C$96="20 Years",O60*P60,"---"))</f>
        <v>-</v>
      </c>
      <c r="R60" s="396"/>
    </row>
    <row r="61" spans="1:18" s="487" customFormat="1" ht="18" customHeight="1">
      <c r="A61" s="131">
        <f t="shared" si="10"/>
        <v>24</v>
      </c>
      <c r="B61" s="132" t="s">
        <v>326</v>
      </c>
      <c r="C61" s="133">
        <f>-'Travel Forecasts for Evaluation'!M35</f>
        <v>0</v>
      </c>
      <c r="D61" s="164">
        <v>5.8300000000000001E-3</v>
      </c>
      <c r="E61" s="135">
        <f t="shared" si="8"/>
        <v>0</v>
      </c>
      <c r="F61" s="136" t="str">
        <f>IF($H$9="Attainment",18.36,IF($H$9="Maintenance",22.95,IF($H$9="Nonattainment",27.54,"-")))</f>
        <v>-</v>
      </c>
      <c r="G61" s="137" t="str">
        <f t="shared" si="9"/>
        <v>-</v>
      </c>
      <c r="H61" s="138" t="str">
        <f>IF('Project Description'!$C$96="10 Years",-'Travel Forecasts for Evaluation'!N35,"---")</f>
        <v>---</v>
      </c>
      <c r="I61" s="164">
        <v>4.3899999999999998E-3</v>
      </c>
      <c r="J61" s="135" t="str">
        <f>IF('Project Description'!$C$96="10 Years",H61*I61,"---")</f>
        <v>---</v>
      </c>
      <c r="K61" s="136" t="str">
        <f>IF($H$9="Attainment",22.95,IF($H$9="Maintenance",28.69,IF($H$9="Nonattainment",34.43,"-")))</f>
        <v>-</v>
      </c>
      <c r="L61" s="137" t="str">
        <f>IF($H$9="(Select…)","-",IF('Project Description'!$C$96="10 Years",J61*K61,"---"))</f>
        <v>-</v>
      </c>
      <c r="M61" s="133" t="str">
        <f>IF('Project Description'!$C$96="20 Years",-'Travel Forecasts for Evaluation'!N35,"---")</f>
        <v>---</v>
      </c>
      <c r="N61" s="164">
        <v>3.98E-3</v>
      </c>
      <c r="O61" s="135" t="str">
        <f>IF('Project Description'!$C$96="20 Years",M61*N61,"---")</f>
        <v>---</v>
      </c>
      <c r="P61" s="140" t="str">
        <f>IF($H$9="Attainment",23.76,IF($H$9="Maintenance",29.7,IF($H$9="Nonattainment",35.64,"-")))</f>
        <v>-</v>
      </c>
      <c r="Q61" s="141" t="str">
        <f>IF($H$9="(Select…)","-",IF('Project Description'!$C$96="20 Years",O61*P61,"---"))</f>
        <v>-</v>
      </c>
      <c r="R61" s="396"/>
    </row>
    <row r="62" spans="1:18" s="487" customFormat="1" ht="18" customHeight="1">
      <c r="A62" s="131">
        <f t="shared" si="10"/>
        <v>25</v>
      </c>
      <c r="B62" s="132" t="s">
        <v>327</v>
      </c>
      <c r="C62" s="133">
        <f>-'Travel Forecasts for Evaluation'!M36</f>
        <v>0</v>
      </c>
      <c r="D62" s="164">
        <v>6.3800000000000003E-3</v>
      </c>
      <c r="E62" s="135">
        <f t="shared" si="8"/>
        <v>0</v>
      </c>
      <c r="F62" s="136" t="str">
        <f>IF($H$9="Attainment",18.36,IF($H$9="Maintenance",22.95,IF($H$9="Nonattainment",27.54,"-")))</f>
        <v>-</v>
      </c>
      <c r="G62" s="137" t="str">
        <f t="shared" si="9"/>
        <v>-</v>
      </c>
      <c r="H62" s="138" t="str">
        <f>IF('Project Description'!$C$96="10 Years",-'Travel Forecasts for Evaluation'!N36,"---")</f>
        <v>---</v>
      </c>
      <c r="I62" s="164">
        <v>5.5799999999999999E-3</v>
      </c>
      <c r="J62" s="135" t="str">
        <f>IF('Project Description'!$C$96="10 Years",H62*I62,"---")</f>
        <v>---</v>
      </c>
      <c r="K62" s="136" t="str">
        <f>IF($H$9="Attainment",22.95,IF($H$9="Maintenance",28.69,IF($H$9="Nonattainment",34.43,"-")))</f>
        <v>-</v>
      </c>
      <c r="L62" s="137" t="str">
        <f>IF($H$9="(Select…)","-",IF('Project Description'!$C$96="10 Years",J62*K62,"---"))</f>
        <v>-</v>
      </c>
      <c r="M62" s="133" t="str">
        <f>IF('Project Description'!$C$96="20 Years",-'Travel Forecasts for Evaluation'!N36,"---")</f>
        <v>---</v>
      </c>
      <c r="N62" s="164">
        <v>5.3200000000000001E-3</v>
      </c>
      <c r="O62" s="135" t="str">
        <f>IF('Project Description'!$C$96="20 Years",M62*N62,"---")</f>
        <v>---</v>
      </c>
      <c r="P62" s="140" t="str">
        <f>IF($H$9="Attainment",23.76,IF($H$9="Maintenance",29.7,IF($H$9="Nonattainment",35.64,"-")))</f>
        <v>-</v>
      </c>
      <c r="Q62" s="141" t="str">
        <f>IF($H$9="(Select…)","-",IF('Project Description'!$C$96="20 Years",O62*P62,"---"))</f>
        <v>-</v>
      </c>
      <c r="R62" s="396"/>
    </row>
    <row r="63" spans="1:18" s="487" customFormat="1" ht="18" customHeight="1">
      <c r="A63" s="131">
        <f t="shared" si="10"/>
        <v>26</v>
      </c>
      <c r="B63" s="132" t="s">
        <v>328</v>
      </c>
      <c r="C63" s="133">
        <f>-'Travel Forecasts for Evaluation'!M37</f>
        <v>0</v>
      </c>
      <c r="D63" s="164">
        <v>9.4999999999999998E-3</v>
      </c>
      <c r="E63" s="135">
        <f t="shared" si="8"/>
        <v>0</v>
      </c>
      <c r="F63" s="136" t="str">
        <f>IF($H$9="Attainment",18.36,IF($H$9="Maintenance",22.95,IF($H$9="Nonattainment",27.54,"-")))</f>
        <v>-</v>
      </c>
      <c r="G63" s="137" t="str">
        <f t="shared" si="9"/>
        <v>-</v>
      </c>
      <c r="H63" s="138" t="str">
        <f>IF('Project Description'!$C$96="10 Years",-'Travel Forecasts for Evaluation'!N37,"---")</f>
        <v>---</v>
      </c>
      <c r="I63" s="164">
        <v>8.3099999999999997E-3</v>
      </c>
      <c r="J63" s="135" t="str">
        <f>IF('Project Description'!$C$96="10 Years",H63*I63,"---")</f>
        <v>---</v>
      </c>
      <c r="K63" s="136" t="str">
        <f>IF($H$9="Attainment",22.95,IF($H$9="Maintenance",28.69,IF($H$9="Nonattainment",34.43,"-")))</f>
        <v>-</v>
      </c>
      <c r="L63" s="137" t="str">
        <f>IF($H$9="(Select…)","-",IF('Project Description'!$C$96="10 Years",J63*K63,"---"))</f>
        <v>-</v>
      </c>
      <c r="M63" s="133" t="str">
        <f>IF('Project Description'!$C$96="20 Years",-'Travel Forecasts for Evaluation'!N37,"---")</f>
        <v>---</v>
      </c>
      <c r="N63" s="164">
        <v>7.9100000000000004E-3</v>
      </c>
      <c r="O63" s="135" t="str">
        <f>IF('Project Description'!$C$96="20 Years",M63*N63,"---")</f>
        <v>---</v>
      </c>
      <c r="P63" s="140" t="str">
        <f>IF($H$9="Attainment",23.76,IF($H$9="Maintenance",29.7,IF($H$9="Nonattainment",35.64,"-")))</f>
        <v>-</v>
      </c>
      <c r="Q63" s="141" t="str">
        <f>IF($H$9="(Select…)","-",IF('Project Description'!$C$96="20 Years",O63*P63,"---"))</f>
        <v>-</v>
      </c>
      <c r="R63" s="396"/>
    </row>
    <row r="64" spans="1:18" s="487" customFormat="1" ht="26">
      <c r="A64" s="131">
        <f t="shared" si="10"/>
        <v>27</v>
      </c>
      <c r="B64" s="132" t="s">
        <v>329</v>
      </c>
      <c r="C64" s="133">
        <f>-'Travel Forecasts for Evaluation'!M38</f>
        <v>0</v>
      </c>
      <c r="D64" s="164">
        <v>1.32E-2</v>
      </c>
      <c r="E64" s="135">
        <f t="shared" si="8"/>
        <v>0</v>
      </c>
      <c r="F64" s="136" t="str">
        <f>IF($H$9="Attainment",12.96,IF($H$9="Maintenance",16.2,IF($H$9="Nonattainment",19.44,"-")))</f>
        <v>-</v>
      </c>
      <c r="G64" s="137" t="str">
        <f t="shared" si="9"/>
        <v>-</v>
      </c>
      <c r="H64" s="138" t="str">
        <f>IF('Project Description'!$C$96="10 Years",-'Travel Forecasts for Evaluation'!N38,"---")</f>
        <v>---</v>
      </c>
      <c r="I64" s="164">
        <v>1.32E-2</v>
      </c>
      <c r="J64" s="135" t="str">
        <f>IF('Project Description'!$C$96="10 Years",H64*I64,"---")</f>
        <v>---</v>
      </c>
      <c r="K64" s="136" t="str">
        <f>IF($H$9="Attainment",15.66,IF($H$9="Maintenance",19.58,IF($H$9="Nonattainment",23.49,"-")))</f>
        <v>-</v>
      </c>
      <c r="L64" s="137" t="str">
        <f>IF($H$9="(Select…)","-",IF('Project Description'!$C$96="10 Years",J64*K64,"---"))</f>
        <v>-</v>
      </c>
      <c r="M64" s="133" t="str">
        <f>IF('Project Description'!$C$96="20 Years",-'Travel Forecasts for Evaluation'!N38,"---")</f>
        <v>---</v>
      </c>
      <c r="N64" s="164">
        <v>1.32E-2</v>
      </c>
      <c r="O64" s="135" t="str">
        <f>IF('Project Description'!$C$96="20 Years",M64*N64,"---")</f>
        <v>---</v>
      </c>
      <c r="P64" s="140" t="str">
        <f>IF($H$9="Attainment",16.2,IF($H$9="Maintenance",20.25,IF($H$9="Nonattainment",24.3,"-")))</f>
        <v>-</v>
      </c>
      <c r="Q64" s="141" t="str">
        <f>IF($H$9="(Select…)","-",IF('Project Description'!$C$96="20 Years",O64*P64,"---"))</f>
        <v>-</v>
      </c>
      <c r="R64" s="396"/>
    </row>
    <row r="65" spans="1:18" s="487" customFormat="1" ht="26">
      <c r="A65" s="131">
        <f t="shared" si="10"/>
        <v>28</v>
      </c>
      <c r="B65" s="132" t="s">
        <v>330</v>
      </c>
      <c r="C65" s="133">
        <f>-'Travel Forecasts for Evaluation'!M39</f>
        <v>0</v>
      </c>
      <c r="D65" s="164">
        <v>9.2999999999999999E-2</v>
      </c>
      <c r="E65" s="135">
        <f t="shared" si="8"/>
        <v>0</v>
      </c>
      <c r="F65" s="136" t="str">
        <f>IF($H$9="Attainment",12.96,IF($H$9="Maintenance",16.2,IF($H$9="Nonattainment",19.44,"-")))</f>
        <v>-</v>
      </c>
      <c r="G65" s="137" t="str">
        <f t="shared" si="9"/>
        <v>-</v>
      </c>
      <c r="H65" s="138" t="str">
        <f>IF('Project Description'!$C$96="10 Years",-'Travel Forecasts for Evaluation'!N39,"---")</f>
        <v>---</v>
      </c>
      <c r="I65" s="164">
        <v>4.2999999999999997E-2</v>
      </c>
      <c r="J65" s="135" t="str">
        <f>IF('Project Description'!$C$96="10 Years",H65*I65,"---")</f>
        <v>---</v>
      </c>
      <c r="K65" s="136" t="str">
        <f>IF($H$9="Attainment",15.66,IF($H$9="Maintenance",19.58,IF($H$9="Nonattainment",23.49,"-")))</f>
        <v>-</v>
      </c>
      <c r="L65" s="137" t="str">
        <f>IF($H$9="(Select…)","-",IF('Project Description'!$C$96="10 Years",J65*K65,"---"))</f>
        <v>-</v>
      </c>
      <c r="M65" s="133" t="str">
        <f>IF('Project Description'!$C$96="20 Years",-'Travel Forecasts for Evaluation'!N39,"---")</f>
        <v>---</v>
      </c>
      <c r="N65" s="164">
        <v>2.0899999999999998E-2</v>
      </c>
      <c r="O65" s="135" t="str">
        <f>IF('Project Description'!$C$96="20 Years",M65*N65,"---")</f>
        <v>---</v>
      </c>
      <c r="P65" s="140" t="str">
        <f>IF($H$9="Attainment",16.2,IF($H$9="Maintenance",20.25,IF($H$9="Nonattainment",24.3,"-")))</f>
        <v>-</v>
      </c>
      <c r="Q65" s="141" t="str">
        <f>IF($H$9="(Select…)","-",IF('Project Description'!$C$96="20 Years",O65*P65,"---"))</f>
        <v>-</v>
      </c>
      <c r="R65" s="396"/>
    </row>
    <row r="66" spans="1:18" s="487" customFormat="1" ht="18" customHeight="1">
      <c r="A66" s="142">
        <f t="shared" si="10"/>
        <v>29</v>
      </c>
      <c r="B66" s="143" t="s">
        <v>331</v>
      </c>
      <c r="C66" s="144">
        <f>-'Travel Forecasts for Evaluation'!M40</f>
        <v>0</v>
      </c>
      <c r="D66" s="165">
        <v>1.157E-2</v>
      </c>
      <c r="E66" s="146">
        <f t="shared" si="8"/>
        <v>0</v>
      </c>
      <c r="F66" s="147" t="str">
        <f>IF($H$9="Attainment",18.36,IF($H$9="Maintenance",22.95,IF($H$9="Nonattainment",27.54,"-")))</f>
        <v>-</v>
      </c>
      <c r="G66" s="148" t="str">
        <f t="shared" si="9"/>
        <v>-</v>
      </c>
      <c r="H66" s="149" t="str">
        <f>IF('Project Description'!$C$96="10 Years",-'Travel Forecasts for Evaluation'!N40,"---")</f>
        <v>---</v>
      </c>
      <c r="I66" s="165">
        <v>1.0119999999999999E-2</v>
      </c>
      <c r="J66" s="146" t="str">
        <f>IF('Project Description'!$C$96="10 Years",H66*I66,"---")</f>
        <v>---</v>
      </c>
      <c r="K66" s="147" t="str">
        <f>IF($H$9="Attainment",22.95,IF($H$9="Maintenance",28.69,IF($H$9="Nonattainment",34.43,"-")))</f>
        <v>-</v>
      </c>
      <c r="L66" s="148" t="str">
        <f>IF($H$9="(Select…)","-",IF('Project Description'!$C$96="10 Years",J66*K66,"---"))</f>
        <v>-</v>
      </c>
      <c r="M66" s="144" t="str">
        <f>IF('Project Description'!$C$96="20 Years",-'Travel Forecasts for Evaluation'!N40,"---")</f>
        <v>---</v>
      </c>
      <c r="N66" s="165">
        <v>9.640000000000001E-3</v>
      </c>
      <c r="O66" s="146" t="str">
        <f>IF('Project Description'!$C$96="20 Years",M66*N66,"---")</f>
        <v>---</v>
      </c>
      <c r="P66" s="151" t="str">
        <f>IF($H$9="Attainment",23.76,IF($H$9="Maintenance",29.7,IF($H$9="Nonattainment",35.64,"-")))</f>
        <v>-</v>
      </c>
      <c r="Q66" s="152" t="str">
        <f>IF($H$9="(Select…)","-",IF('Project Description'!$C$96="20 Years",O66*P66,"---"))</f>
        <v>-</v>
      </c>
      <c r="R66" s="396"/>
    </row>
    <row r="67" spans="1:18" ht="16" thickBot="1">
      <c r="A67" s="153">
        <f t="shared" si="10"/>
        <v>30</v>
      </c>
      <c r="B67" s="154" t="s">
        <v>332</v>
      </c>
      <c r="C67" s="155">
        <f>SUM(C57:C66)</f>
        <v>0</v>
      </c>
      <c r="D67" s="156" t="s">
        <v>112</v>
      </c>
      <c r="E67" s="157">
        <f>SUM(E57:E66)</f>
        <v>0</v>
      </c>
      <c r="F67" s="158" t="s">
        <v>112</v>
      </c>
      <c r="G67" s="159">
        <f>SUM(G57:G66)</f>
        <v>0</v>
      </c>
      <c r="H67" s="160" t="str">
        <f>IF('Project Description'!$C$96="10 Years",SUM(H57:H66),"---")</f>
        <v>---</v>
      </c>
      <c r="I67" s="161" t="s">
        <v>112</v>
      </c>
      <c r="J67" s="157" t="str">
        <f>IF('Project Description'!$C$96="10 Years",SUM(J57:J66),"---")</f>
        <v>---</v>
      </c>
      <c r="K67" s="162" t="s">
        <v>112</v>
      </c>
      <c r="L67" s="159" t="str">
        <f>IF('Project Description'!$C$96="10 Years",SUM(L57:L66),"---")</f>
        <v>---</v>
      </c>
      <c r="M67" s="155" t="str">
        <f>IF('Project Description'!$C$96="20 Years",SUM(M57:M66),"---")</f>
        <v>---</v>
      </c>
      <c r="N67" s="161" t="s">
        <v>112</v>
      </c>
      <c r="O67" s="157" t="str">
        <f>IF('Project Description'!$C$96="20 Years",SUM(O57:O66),"---")</f>
        <v>---</v>
      </c>
      <c r="P67" s="162" t="s">
        <v>112</v>
      </c>
      <c r="Q67" s="159" t="str">
        <f>IF('Project Description'!$C$96="20 Years",SUM(Q57:Q66),"---")</f>
        <v>---</v>
      </c>
    </row>
    <row r="68" spans="1:18" ht="15.5">
      <c r="A68" s="264"/>
      <c r="B68" s="265"/>
      <c r="C68" s="266"/>
      <c r="D68" s="267"/>
      <c r="E68" s="268"/>
      <c r="F68" s="267"/>
      <c r="G68" s="269"/>
      <c r="H68" s="266"/>
      <c r="I68" s="270"/>
      <c r="J68" s="268"/>
      <c r="K68" s="270"/>
      <c r="L68" s="269"/>
      <c r="M68" s="266"/>
      <c r="N68" s="270"/>
      <c r="O68" s="268"/>
      <c r="P68" s="270"/>
      <c r="Q68" s="269"/>
      <c r="R68" s="497"/>
    </row>
    <row r="69" spans="1:18" ht="16" thickBot="1">
      <c r="A69" s="264"/>
      <c r="B69" s="265"/>
      <c r="C69" s="266"/>
      <c r="D69" s="267"/>
      <c r="E69" s="268"/>
      <c r="F69" s="267"/>
      <c r="G69" s="269"/>
      <c r="H69" s="266"/>
      <c r="I69" s="270"/>
      <c r="J69" s="268"/>
      <c r="K69" s="270"/>
      <c r="L69" s="269"/>
      <c r="M69" s="266"/>
      <c r="N69" s="270"/>
      <c r="O69" s="268"/>
      <c r="P69" s="270"/>
      <c r="Q69" s="269"/>
      <c r="R69" s="497"/>
    </row>
    <row r="70" spans="1:18" ht="18.75" customHeight="1" thickBot="1">
      <c r="A70" s="1022" t="s">
        <v>334</v>
      </c>
      <c r="B70" s="1023"/>
      <c r="C70" s="1023"/>
      <c r="D70" s="1023"/>
      <c r="E70" s="1023"/>
      <c r="F70" s="1023"/>
      <c r="G70" s="1023"/>
      <c r="H70" s="1023"/>
      <c r="I70" s="1023"/>
      <c r="J70" s="1023"/>
      <c r="K70" s="1023"/>
      <c r="L70" s="1023"/>
      <c r="M70" s="1023"/>
      <c r="N70" s="1023"/>
      <c r="O70" s="1023"/>
      <c r="P70" s="1023"/>
      <c r="Q70" s="1024"/>
      <c r="R70" s="502"/>
    </row>
    <row r="71" spans="1:18" s="100" customFormat="1" ht="16" thickBot="1">
      <c r="C71" s="231"/>
      <c r="D71" s="231"/>
      <c r="E71" s="232"/>
      <c r="F71" s="232"/>
      <c r="G71" s="232"/>
      <c r="H71" s="232"/>
    </row>
    <row r="72" spans="1:18" ht="19.5" customHeight="1" thickBot="1">
      <c r="A72" s="1025" t="s">
        <v>335</v>
      </c>
      <c r="B72" s="1026"/>
      <c r="C72" s="1026"/>
      <c r="D72" s="1026"/>
      <c r="E72" s="1026"/>
      <c r="F72" s="1026"/>
      <c r="G72" s="1026"/>
      <c r="H72" s="1026"/>
      <c r="I72" s="1026"/>
      <c r="J72" s="1026"/>
      <c r="K72" s="1026"/>
      <c r="L72" s="1026"/>
      <c r="M72" s="1026"/>
      <c r="N72" s="1026"/>
      <c r="O72" s="1026"/>
      <c r="P72" s="1026"/>
      <c r="Q72" s="1027"/>
      <c r="R72" s="236"/>
    </row>
    <row r="73" spans="1:18" s="487" customFormat="1" ht="15.5">
      <c r="A73" s="1028" t="s">
        <v>83</v>
      </c>
      <c r="B73" s="1030" t="s">
        <v>315</v>
      </c>
      <c r="C73" s="1032" t="s">
        <v>33</v>
      </c>
      <c r="D73" s="1033"/>
      <c r="E73" s="1033"/>
      <c r="F73" s="1033"/>
      <c r="G73" s="1034"/>
      <c r="H73" s="1033" t="s">
        <v>316</v>
      </c>
      <c r="I73" s="1033"/>
      <c r="J73" s="1033"/>
      <c r="K73" s="1033"/>
      <c r="L73" s="1033"/>
      <c r="M73" s="1032" t="s">
        <v>317</v>
      </c>
      <c r="N73" s="1033"/>
      <c r="O73" s="1033"/>
      <c r="P73" s="1033"/>
      <c r="Q73" s="1034"/>
      <c r="R73" s="396"/>
    </row>
    <row r="74" spans="1:18" s="487" customFormat="1" ht="60" customHeight="1">
      <c r="A74" s="1029"/>
      <c r="B74" s="1031"/>
      <c r="C74" s="116" t="s">
        <v>318</v>
      </c>
      <c r="D74" s="117" t="s">
        <v>319</v>
      </c>
      <c r="E74" s="117" t="s">
        <v>320</v>
      </c>
      <c r="F74" s="118" t="s">
        <v>321</v>
      </c>
      <c r="G74" s="119" t="s">
        <v>322</v>
      </c>
      <c r="H74" s="120" t="s">
        <v>318</v>
      </c>
      <c r="I74" s="117" t="s">
        <v>319</v>
      </c>
      <c r="J74" s="117" t="s">
        <v>320</v>
      </c>
      <c r="K74" s="118" t="s">
        <v>321</v>
      </c>
      <c r="L74" s="119" t="s">
        <v>322</v>
      </c>
      <c r="M74" s="116" t="s">
        <v>318</v>
      </c>
      <c r="N74" s="117" t="s">
        <v>319</v>
      </c>
      <c r="O74" s="117" t="s">
        <v>320</v>
      </c>
      <c r="P74" s="118" t="s">
        <v>321</v>
      </c>
      <c r="Q74" s="119" t="s">
        <v>322</v>
      </c>
      <c r="R74" s="396"/>
    </row>
    <row r="75" spans="1:18" s="487" customFormat="1" ht="18" customHeight="1">
      <c r="A75" s="121">
        <f>A67+1</f>
        <v>31</v>
      </c>
      <c r="B75" s="122" t="s">
        <v>126</v>
      </c>
      <c r="C75" s="123">
        <f>IF('Project Description'!$C$92="Yes",H25,-'Travel Forecasts for Evaluation'!M31)</f>
        <v>0</v>
      </c>
      <c r="D75" s="163">
        <v>5.9999999999999995E-4</v>
      </c>
      <c r="E75" s="125">
        <f>C75*D75</f>
        <v>0</v>
      </c>
      <c r="F75" s="126" t="str">
        <f t="shared" ref="F75:F84" si="11">IF($H$10="Attainment",3.02,IF($H$10="Maintenance",3.78,IF($H$10="Nonattainment",4.53,"-")))</f>
        <v>-</v>
      </c>
      <c r="G75" s="127" t="str">
        <f>IF($H$10="(Select…)","-",E75*F75)</f>
        <v>-</v>
      </c>
      <c r="H75" s="128" t="str">
        <f>IF('Project Description'!$C$96="10 Years",-'Travel Forecasts for Evaluation'!N31,"---")</f>
        <v>---</v>
      </c>
      <c r="I75" s="163">
        <v>2.7E-4</v>
      </c>
      <c r="J75" s="125" t="str">
        <f>IF('Project Description'!$C$96="10 Years",H75*I75,"---")</f>
        <v>---</v>
      </c>
      <c r="K75" s="126" t="str">
        <f t="shared" ref="K75:K84" si="12">IF($H$10="Attainment",3.75,IF($H$10="Maintenance",4.69,IF($H$10="Nonattainment",5.63,"-")))</f>
        <v>-</v>
      </c>
      <c r="L75" s="127" t="str">
        <f>IF($H$10="(Select…)","-",IF('Project Description'!$C$96="10 Years",J75*K75,"---"))</f>
        <v>-</v>
      </c>
      <c r="M75" s="123" t="str">
        <f>IF('Project Description'!$C$96="20 Years",-'Travel Forecasts for Evaluation'!N31,"---")</f>
        <v>---</v>
      </c>
      <c r="N75" s="163">
        <v>2.0999999999999998E-4</v>
      </c>
      <c r="O75" s="125" t="str">
        <f>IF('Project Description'!$C$96="20 Years",M75*N75,"---")</f>
        <v>---</v>
      </c>
      <c r="P75" s="126" t="str">
        <f t="shared" ref="P75:P84" si="13">IF($H$10="Attainment",3.89,IF($H$10="Maintenance",4.86,IF($H$10="Nonattainment",5.84,"-")))</f>
        <v>-</v>
      </c>
      <c r="Q75" s="127" t="str">
        <f>IF($H$10="(Select…)","-",IF('Project Description'!$C$96="20 Years",O75*P75,"---"))</f>
        <v>-</v>
      </c>
      <c r="R75" s="396"/>
    </row>
    <row r="76" spans="1:18" s="487" customFormat="1" ht="18" customHeight="1">
      <c r="A76" s="131">
        <f>A75+1</f>
        <v>32</v>
      </c>
      <c r="B76" s="132" t="s">
        <v>323</v>
      </c>
      <c r="C76" s="133">
        <f>-'Travel Forecasts for Evaluation'!M32</f>
        <v>0</v>
      </c>
      <c r="D76" s="164">
        <v>7.2999999999999996E-4</v>
      </c>
      <c r="E76" s="135">
        <f t="shared" ref="E76:E84" si="14">C76*D76</f>
        <v>0</v>
      </c>
      <c r="F76" s="136" t="str">
        <f t="shared" si="11"/>
        <v>-</v>
      </c>
      <c r="G76" s="137" t="str">
        <f t="shared" ref="G76:G84" si="15">IF($H$10="(Select…)","-",E76*F76)</f>
        <v>-</v>
      </c>
      <c r="H76" s="138" t="str">
        <f>IF('Project Description'!$C$96="10 Years",-'Travel Forecasts for Evaluation'!N32,"---")</f>
        <v>---</v>
      </c>
      <c r="I76" s="164">
        <v>2.3999999999999998E-4</v>
      </c>
      <c r="J76" s="135" t="str">
        <f>IF('Project Description'!$C$96="10 Years",H76*I76,"---")</f>
        <v>---</v>
      </c>
      <c r="K76" s="136" t="str">
        <f t="shared" si="12"/>
        <v>-</v>
      </c>
      <c r="L76" s="137" t="str">
        <f>IF($H$10="(Select…)","-",IF('Project Description'!$C$96="10 Years",J76*K76,"---"))</f>
        <v>-</v>
      </c>
      <c r="M76" s="133" t="str">
        <f>IF('Project Description'!$C$96="20 Years",-'Travel Forecasts for Evaluation'!N32,"---")</f>
        <v>---</v>
      </c>
      <c r="N76" s="164">
        <v>1.6000000000000001E-4</v>
      </c>
      <c r="O76" s="135" t="str">
        <f>IF('Project Description'!$C$96="20 Years",M76*N76,"---")</f>
        <v>---</v>
      </c>
      <c r="P76" s="140" t="str">
        <f t="shared" si="13"/>
        <v>-</v>
      </c>
      <c r="Q76" s="141" t="str">
        <f>IF($H$10="(Select…)","-",IF('Project Description'!$C$96="20 Years",O76*P76,"---"))</f>
        <v>-</v>
      </c>
      <c r="R76" s="396"/>
    </row>
    <row r="77" spans="1:18" s="487" customFormat="1" ht="18" customHeight="1">
      <c r="A77" s="131">
        <f t="shared" ref="A77:A85" si="16">A76+1</f>
        <v>33</v>
      </c>
      <c r="B77" s="132" t="s">
        <v>324</v>
      </c>
      <c r="C77" s="133">
        <f>-'Travel Forecasts for Evaluation'!M33</f>
        <v>0</v>
      </c>
      <c r="D77" s="164">
        <v>7.2999999999999996E-4</v>
      </c>
      <c r="E77" s="135">
        <f t="shared" si="14"/>
        <v>0</v>
      </c>
      <c r="F77" s="136" t="str">
        <f t="shared" si="11"/>
        <v>-</v>
      </c>
      <c r="G77" s="137" t="str">
        <f t="shared" si="15"/>
        <v>-</v>
      </c>
      <c r="H77" s="138" t="str">
        <f>IF('Project Description'!$C$96="10 Years",-'Travel Forecasts for Evaluation'!N33,"---")</f>
        <v>---</v>
      </c>
      <c r="I77" s="164">
        <v>2.3999999999999998E-4</v>
      </c>
      <c r="J77" s="135" t="str">
        <f>IF('Project Description'!$C$96="10 Years",H77*I77,"---")</f>
        <v>---</v>
      </c>
      <c r="K77" s="136" t="str">
        <f t="shared" si="12"/>
        <v>-</v>
      </c>
      <c r="L77" s="137" t="str">
        <f>IF($H$10="(Select…)","-",IF('Project Description'!$C$96="10 Years",J77*K77,"---"))</f>
        <v>-</v>
      </c>
      <c r="M77" s="133" t="str">
        <f>IF('Project Description'!$C$96="20 Years",-'Travel Forecasts for Evaluation'!N33,"---")</f>
        <v>---</v>
      </c>
      <c r="N77" s="164">
        <v>1.6000000000000001E-4</v>
      </c>
      <c r="O77" s="135" t="str">
        <f>IF('Project Description'!$C$96="20 Years",M77*N77,"---")</f>
        <v>---</v>
      </c>
      <c r="P77" s="140" t="str">
        <f t="shared" si="13"/>
        <v>-</v>
      </c>
      <c r="Q77" s="141" t="str">
        <f>IF($H$10="(Select…)","-",IF('Project Description'!$C$96="20 Years",O77*P77,"---"))</f>
        <v>-</v>
      </c>
      <c r="R77" s="396"/>
    </row>
    <row r="78" spans="1:18" s="487" customFormat="1" ht="18" customHeight="1">
      <c r="A78" s="131">
        <f t="shared" si="16"/>
        <v>34</v>
      </c>
      <c r="B78" s="132" t="s">
        <v>325</v>
      </c>
      <c r="C78" s="133">
        <f>-'Travel Forecasts for Evaluation'!M34</f>
        <v>0</v>
      </c>
      <c r="D78" s="164">
        <v>1.4599999999999999E-3</v>
      </c>
      <c r="E78" s="135">
        <f t="shared" si="14"/>
        <v>0</v>
      </c>
      <c r="F78" s="136" t="str">
        <f t="shared" si="11"/>
        <v>-</v>
      </c>
      <c r="G78" s="137" t="str">
        <f t="shared" si="15"/>
        <v>-</v>
      </c>
      <c r="H78" s="138" t="str">
        <f>IF('Project Description'!$C$96="10 Years",-'Travel Forecasts for Evaluation'!N34,"---")</f>
        <v>---</v>
      </c>
      <c r="I78" s="164">
        <v>1.15E-3</v>
      </c>
      <c r="J78" s="135" t="str">
        <f>IF('Project Description'!$C$96="10 Years",H78*I78,"---")</f>
        <v>---</v>
      </c>
      <c r="K78" s="136" t="str">
        <f t="shared" si="12"/>
        <v>-</v>
      </c>
      <c r="L78" s="137" t="str">
        <f>IF($H$10="(Select…)","-",IF('Project Description'!$C$96="10 Years",J78*K78,"---"))</f>
        <v>-</v>
      </c>
      <c r="M78" s="133" t="str">
        <f>IF('Project Description'!$C$96="20 Years",-'Travel Forecasts for Evaluation'!N34,"---")</f>
        <v>---</v>
      </c>
      <c r="N78" s="164">
        <v>1.1100000000000001E-3</v>
      </c>
      <c r="O78" s="135" t="str">
        <f>IF('Project Description'!$C$96="20 Years",M78*N78,"---")</f>
        <v>---</v>
      </c>
      <c r="P78" s="140" t="str">
        <f t="shared" si="13"/>
        <v>-</v>
      </c>
      <c r="Q78" s="141" t="str">
        <f>IF($H$10="(Select…)","-",IF('Project Description'!$C$96="20 Years",O78*P78,"---"))</f>
        <v>-</v>
      </c>
      <c r="R78" s="396"/>
    </row>
    <row r="79" spans="1:18" s="487" customFormat="1" ht="18" customHeight="1">
      <c r="A79" s="131">
        <f t="shared" si="16"/>
        <v>35</v>
      </c>
      <c r="B79" s="132" t="s">
        <v>326</v>
      </c>
      <c r="C79" s="133">
        <f>-'Travel Forecasts for Evaluation'!M35</f>
        <v>0</v>
      </c>
      <c r="D79" s="164">
        <v>1.1999999999999999E-4</v>
      </c>
      <c r="E79" s="135">
        <f t="shared" si="14"/>
        <v>0</v>
      </c>
      <c r="F79" s="136" t="str">
        <f t="shared" si="11"/>
        <v>-</v>
      </c>
      <c r="G79" s="137" t="str">
        <f t="shared" si="15"/>
        <v>-</v>
      </c>
      <c r="H79" s="138" t="str">
        <f>IF('Project Description'!$C$96="10 Years",-'Travel Forecasts for Evaluation'!N35,"---")</f>
        <v>---</v>
      </c>
      <c r="I79" s="164">
        <v>1E-4</v>
      </c>
      <c r="J79" s="135" t="str">
        <f>IF('Project Description'!$C$96="10 Years",H79*I79,"---")</f>
        <v>---</v>
      </c>
      <c r="K79" s="136" t="str">
        <f t="shared" si="12"/>
        <v>-</v>
      </c>
      <c r="L79" s="137" t="str">
        <f>IF($H$10="(Select…)","-",IF('Project Description'!$C$96="10 Years",J79*K79,"---"))</f>
        <v>-</v>
      </c>
      <c r="M79" s="133" t="str">
        <f>IF('Project Description'!$C$96="20 Years",-'Travel Forecasts for Evaluation'!N35,"---")</f>
        <v>---</v>
      </c>
      <c r="N79" s="164">
        <v>1E-4</v>
      </c>
      <c r="O79" s="135" t="str">
        <f>IF('Project Description'!$C$96="20 Years",M79*N79,"---")</f>
        <v>---</v>
      </c>
      <c r="P79" s="140" t="str">
        <f t="shared" si="13"/>
        <v>-</v>
      </c>
      <c r="Q79" s="141" t="str">
        <f>IF($H$10="(Select…)","-",IF('Project Description'!$C$96="20 Years",O79*P79,"---"))</f>
        <v>-</v>
      </c>
      <c r="R79" s="396"/>
    </row>
    <row r="80" spans="1:18" s="487" customFormat="1" ht="18" customHeight="1">
      <c r="A80" s="131">
        <f t="shared" si="16"/>
        <v>36</v>
      </c>
      <c r="B80" s="132" t="s">
        <v>327</v>
      </c>
      <c r="C80" s="133">
        <f>-'Travel Forecasts for Evaluation'!M36</f>
        <v>0</v>
      </c>
      <c r="D80" s="164">
        <v>1.3000000000000002E-4</v>
      </c>
      <c r="E80" s="135">
        <f t="shared" si="14"/>
        <v>0</v>
      </c>
      <c r="F80" s="136" t="str">
        <f t="shared" si="11"/>
        <v>-</v>
      </c>
      <c r="G80" s="137" t="str">
        <f t="shared" si="15"/>
        <v>-</v>
      </c>
      <c r="H80" s="138" t="str">
        <f>IF('Project Description'!$C$96="10 Years",-'Travel Forecasts for Evaluation'!N36,"---")</f>
        <v>---</v>
      </c>
      <c r="I80" s="164">
        <v>1.3000000000000002E-4</v>
      </c>
      <c r="J80" s="135" t="str">
        <f>IF('Project Description'!$C$96="10 Years",H80*I80,"---")</f>
        <v>---</v>
      </c>
      <c r="K80" s="136" t="str">
        <f t="shared" si="12"/>
        <v>-</v>
      </c>
      <c r="L80" s="137" t="str">
        <f>IF($H$10="(Select…)","-",IF('Project Description'!$C$96="10 Years",J80*K80,"---"))</f>
        <v>-</v>
      </c>
      <c r="M80" s="133" t="str">
        <f>IF('Project Description'!$C$96="20 Years",-'Travel Forecasts for Evaluation'!N36,"---")</f>
        <v>---</v>
      </c>
      <c r="N80" s="164">
        <v>1.3000000000000002E-4</v>
      </c>
      <c r="O80" s="135" t="str">
        <f>IF('Project Description'!$C$96="20 Years",M80*N80,"---")</f>
        <v>---</v>
      </c>
      <c r="P80" s="140" t="str">
        <f t="shared" si="13"/>
        <v>-</v>
      </c>
      <c r="Q80" s="141" t="str">
        <f>IF($H$10="(Select…)","-",IF('Project Description'!$C$96="20 Years",O80*P80,"---"))</f>
        <v>-</v>
      </c>
      <c r="R80" s="396"/>
    </row>
    <row r="81" spans="1:18" s="487" customFormat="1" ht="18" customHeight="1">
      <c r="A81" s="131">
        <f t="shared" si="16"/>
        <v>37</v>
      </c>
      <c r="B81" s="132" t="s">
        <v>328</v>
      </c>
      <c r="C81" s="133">
        <f>-'Travel Forecasts for Evaluation'!M37</f>
        <v>0</v>
      </c>
      <c r="D81" s="164">
        <v>1.9000000000000001E-4</v>
      </c>
      <c r="E81" s="135">
        <f t="shared" si="14"/>
        <v>0</v>
      </c>
      <c r="F81" s="136" t="str">
        <f t="shared" si="11"/>
        <v>-</v>
      </c>
      <c r="G81" s="137" t="str">
        <f t="shared" si="15"/>
        <v>-</v>
      </c>
      <c r="H81" s="138" t="str">
        <f>IF('Project Description'!$C$96="10 Years",-'Travel Forecasts for Evaluation'!N37,"---")</f>
        <v>---</v>
      </c>
      <c r="I81" s="164">
        <v>1.9000000000000001E-4</v>
      </c>
      <c r="J81" s="135" t="str">
        <f>IF('Project Description'!$C$96="10 Years",H81*I81,"---")</f>
        <v>---</v>
      </c>
      <c r="K81" s="136" t="str">
        <f t="shared" si="12"/>
        <v>-</v>
      </c>
      <c r="L81" s="137" t="str">
        <f>IF($H$10="(Select…)","-",IF('Project Description'!$C$96="10 Years",J81*K81,"---"))</f>
        <v>-</v>
      </c>
      <c r="M81" s="133" t="str">
        <f>IF('Project Description'!$C$96="20 Years",-'Travel Forecasts for Evaluation'!N37,"---")</f>
        <v>---</v>
      </c>
      <c r="N81" s="164">
        <v>2.0000000000000001E-4</v>
      </c>
      <c r="O81" s="135" t="str">
        <f>IF('Project Description'!$C$96="20 Years",M81*N81,"---")</f>
        <v>---</v>
      </c>
      <c r="P81" s="140" t="str">
        <f t="shared" si="13"/>
        <v>-</v>
      </c>
      <c r="Q81" s="141" t="str">
        <f>IF($H$10="(Select…)","-",IF('Project Description'!$C$96="20 Years",O81*P81,"---"))</f>
        <v>-</v>
      </c>
      <c r="R81" s="396"/>
    </row>
    <row r="82" spans="1:18" s="487" customFormat="1" ht="26">
      <c r="A82" s="131">
        <f t="shared" si="16"/>
        <v>38</v>
      </c>
      <c r="B82" s="132" t="s">
        <v>329</v>
      </c>
      <c r="C82" s="133">
        <f>-'Travel Forecasts for Evaluation'!M38</f>
        <v>0</v>
      </c>
      <c r="D82" s="164">
        <v>5.5000000000000003E-4</v>
      </c>
      <c r="E82" s="135">
        <f t="shared" si="14"/>
        <v>0</v>
      </c>
      <c r="F82" s="136" t="str">
        <f t="shared" si="11"/>
        <v>-</v>
      </c>
      <c r="G82" s="137" t="str">
        <f t="shared" si="15"/>
        <v>-</v>
      </c>
      <c r="H82" s="138" t="str">
        <f>IF('Project Description'!$C$96="10 Years",-'Travel Forecasts for Evaluation'!N38,"---")</f>
        <v>---</v>
      </c>
      <c r="I82" s="164">
        <v>5.5000000000000003E-4</v>
      </c>
      <c r="J82" s="135" t="str">
        <f>IF('Project Description'!$C$96="10 Years",H82*I82,"---")</f>
        <v>---</v>
      </c>
      <c r="K82" s="136" t="str">
        <f t="shared" si="12"/>
        <v>-</v>
      </c>
      <c r="L82" s="137" t="str">
        <f>IF($H$10="(Select…)","-",IF('Project Description'!$C$96="10 Years",J82*K82,"---"))</f>
        <v>-</v>
      </c>
      <c r="M82" s="133" t="str">
        <f>IF('Project Description'!$C$96="20 Years",-'Travel Forecasts for Evaluation'!N38,"---")</f>
        <v>---</v>
      </c>
      <c r="N82" s="164">
        <v>5.5000000000000003E-4</v>
      </c>
      <c r="O82" s="135" t="str">
        <f>IF('Project Description'!$C$96="20 Years",M82*N82,"---")</f>
        <v>---</v>
      </c>
      <c r="P82" s="140" t="str">
        <f t="shared" si="13"/>
        <v>-</v>
      </c>
      <c r="Q82" s="141" t="str">
        <f>IF($H$10="(Select…)","-",IF('Project Description'!$C$96="20 Years",O82*P82,"---"))</f>
        <v>-</v>
      </c>
      <c r="R82" s="396"/>
    </row>
    <row r="83" spans="1:18" s="487" customFormat="1" ht="26">
      <c r="A83" s="131">
        <f t="shared" si="16"/>
        <v>39</v>
      </c>
      <c r="B83" s="132" t="s">
        <v>330</v>
      </c>
      <c r="C83" s="133">
        <f>-'Travel Forecasts for Evaluation'!M39</f>
        <v>0</v>
      </c>
      <c r="D83" s="164">
        <v>4.3600000000000002E-3</v>
      </c>
      <c r="E83" s="135">
        <f t="shared" si="14"/>
        <v>0</v>
      </c>
      <c r="F83" s="136" t="str">
        <f t="shared" si="11"/>
        <v>-</v>
      </c>
      <c r="G83" s="137" t="str">
        <f t="shared" si="15"/>
        <v>-</v>
      </c>
      <c r="H83" s="138" t="str">
        <f>IF('Project Description'!$C$96="10 Years",-'Travel Forecasts for Evaluation'!N39,"---")</f>
        <v>---</v>
      </c>
      <c r="I83" s="164">
        <v>1.2600000000000001E-3</v>
      </c>
      <c r="J83" s="135" t="str">
        <f>IF('Project Description'!$C$96="10 Years",H83*I83,"---")</f>
        <v>---</v>
      </c>
      <c r="K83" s="136" t="str">
        <f t="shared" si="12"/>
        <v>-</v>
      </c>
      <c r="L83" s="137" t="str">
        <f>IF($H$10="(Select…)","-",IF('Project Description'!$C$96="10 Years",J83*K83,"---"))</f>
        <v>-</v>
      </c>
      <c r="M83" s="133" t="str">
        <f>IF('Project Description'!$C$96="20 Years",-'Travel Forecasts for Evaluation'!N39,"---")</f>
        <v>---</v>
      </c>
      <c r="N83" s="164">
        <v>4.4000000000000002E-4</v>
      </c>
      <c r="O83" s="135" t="str">
        <f>IF('Project Description'!$C$96="20 Years",M83*N83,"---")</f>
        <v>---</v>
      </c>
      <c r="P83" s="140" t="str">
        <f t="shared" si="13"/>
        <v>-</v>
      </c>
      <c r="Q83" s="141" t="str">
        <f>IF($H$10="(Select…)","-",IF('Project Description'!$C$96="20 Years",O83*P83,"---"))</f>
        <v>-</v>
      </c>
      <c r="R83" s="396"/>
    </row>
    <row r="84" spans="1:18" s="487" customFormat="1" ht="18" customHeight="1">
      <c r="A84" s="142">
        <f t="shared" si="16"/>
        <v>40</v>
      </c>
      <c r="B84" s="143" t="s">
        <v>331</v>
      </c>
      <c r="C84" s="144">
        <f>-'Travel Forecasts for Evaluation'!M40</f>
        <v>0</v>
      </c>
      <c r="D84" s="165">
        <v>2.3999999999999998E-4</v>
      </c>
      <c r="E84" s="146">
        <f t="shared" si="14"/>
        <v>0</v>
      </c>
      <c r="F84" s="147" t="str">
        <f t="shared" si="11"/>
        <v>-</v>
      </c>
      <c r="G84" s="148" t="str">
        <f t="shared" si="15"/>
        <v>-</v>
      </c>
      <c r="H84" s="149" t="str">
        <f>IF('Project Description'!$C$96="10 Years",-'Travel Forecasts for Evaluation'!N40,"---")</f>
        <v>---</v>
      </c>
      <c r="I84" s="165">
        <v>2.3000000000000001E-4</v>
      </c>
      <c r="J84" s="146" t="str">
        <f>IF('Project Description'!$C$96="10 Years",H84*I84,"---")</f>
        <v>---</v>
      </c>
      <c r="K84" s="147" t="str">
        <f t="shared" si="12"/>
        <v>-</v>
      </c>
      <c r="L84" s="148" t="str">
        <f>IF($H$10="(Select…)","-",IF('Project Description'!$C$96="10 Years",J84*K84,"---"))</f>
        <v>-</v>
      </c>
      <c r="M84" s="144" t="str">
        <f>IF('Project Description'!$C$96="20 Years",-'Travel Forecasts for Evaluation'!N40,"---")</f>
        <v>---</v>
      </c>
      <c r="N84" s="165">
        <v>2.3999999999999998E-4</v>
      </c>
      <c r="O84" s="146" t="str">
        <f>IF('Project Description'!$C$96="20 Years",M84*N84,"---")</f>
        <v>---</v>
      </c>
      <c r="P84" s="151" t="str">
        <f t="shared" si="13"/>
        <v>-</v>
      </c>
      <c r="Q84" s="152" t="str">
        <f>IF($H$10="(Select…)","-",IF('Project Description'!$C$96="20 Years",O84*P84,"---"))</f>
        <v>-</v>
      </c>
      <c r="R84" s="396"/>
    </row>
    <row r="85" spans="1:18" ht="16" thickBot="1">
      <c r="A85" s="153">
        <f t="shared" si="16"/>
        <v>41</v>
      </c>
      <c r="B85" s="154" t="s">
        <v>332</v>
      </c>
      <c r="C85" s="155">
        <f>SUM(C75:C84)</f>
        <v>0</v>
      </c>
      <c r="D85" s="156" t="s">
        <v>112</v>
      </c>
      <c r="E85" s="157">
        <f>SUM(E75:E84)</f>
        <v>0</v>
      </c>
      <c r="F85" s="158" t="s">
        <v>112</v>
      </c>
      <c r="G85" s="159">
        <f>SUM(G75:G84)</f>
        <v>0</v>
      </c>
      <c r="H85" s="160" t="str">
        <f>IF('Project Description'!$C$96="10 Years",SUM(H75:H84),"---")</f>
        <v>---</v>
      </c>
      <c r="I85" s="161" t="s">
        <v>112</v>
      </c>
      <c r="J85" s="157" t="str">
        <f>IF('Project Description'!$C$96="10 Years",SUM(J75:J84),"---")</f>
        <v>---</v>
      </c>
      <c r="K85" s="162" t="s">
        <v>112</v>
      </c>
      <c r="L85" s="159" t="str">
        <f>IF('Project Description'!$C$96="10 Years",SUM(L75:L84),"---")</f>
        <v>---</v>
      </c>
      <c r="M85" s="155" t="str">
        <f>IF('Project Description'!$C$96="20 Years",SUM(M75:M84),"---")</f>
        <v>---</v>
      </c>
      <c r="N85" s="161" t="s">
        <v>112</v>
      </c>
      <c r="O85" s="157" t="str">
        <f>IF('Project Description'!$C$96="20 Years",SUM(O75:O84),"---")</f>
        <v>---</v>
      </c>
      <c r="P85" s="162" t="s">
        <v>112</v>
      </c>
      <c r="Q85" s="159" t="str">
        <f>IF('Project Description'!$C$96="20 Years",SUM(Q75:Q84),"---")</f>
        <v>---</v>
      </c>
    </row>
    <row r="86" spans="1:18" s="233" customFormat="1" ht="13">
      <c r="C86" s="234"/>
      <c r="D86" s="234"/>
      <c r="E86" s="235"/>
      <c r="F86" s="235"/>
      <c r="G86" s="235"/>
      <c r="H86" s="235"/>
    </row>
    <row r="87" spans="1:18" s="100" customFormat="1" ht="16" thickBot="1">
      <c r="C87" s="231"/>
      <c r="D87" s="231"/>
      <c r="E87" s="232"/>
      <c r="F87" s="232"/>
      <c r="G87" s="232"/>
      <c r="H87" s="232"/>
    </row>
    <row r="88" spans="1:18" ht="18" thickBot="1">
      <c r="A88" s="1025" t="s">
        <v>336</v>
      </c>
      <c r="B88" s="1026"/>
      <c r="C88" s="1026"/>
      <c r="D88" s="1026"/>
      <c r="E88" s="1026"/>
      <c r="F88" s="1026"/>
      <c r="G88" s="1026"/>
      <c r="H88" s="1026"/>
      <c r="I88" s="1026"/>
      <c r="J88" s="1026"/>
      <c r="K88" s="1026"/>
      <c r="L88" s="1026"/>
      <c r="M88" s="1026"/>
      <c r="N88" s="1026"/>
      <c r="O88" s="1026"/>
      <c r="P88" s="1026"/>
      <c r="Q88" s="1027"/>
      <c r="R88" s="236"/>
    </row>
    <row r="89" spans="1:18" s="487" customFormat="1" ht="15.5">
      <c r="A89" s="1028" t="s">
        <v>83</v>
      </c>
      <c r="B89" s="1030" t="s">
        <v>315</v>
      </c>
      <c r="C89" s="1032" t="s">
        <v>33</v>
      </c>
      <c r="D89" s="1033"/>
      <c r="E89" s="1033"/>
      <c r="F89" s="1033"/>
      <c r="G89" s="1034"/>
      <c r="H89" s="1033" t="s">
        <v>316</v>
      </c>
      <c r="I89" s="1033"/>
      <c r="J89" s="1033"/>
      <c r="K89" s="1033"/>
      <c r="L89" s="1033"/>
      <c r="M89" s="1032" t="s">
        <v>317</v>
      </c>
      <c r="N89" s="1033"/>
      <c r="O89" s="1033"/>
      <c r="P89" s="1033"/>
      <c r="Q89" s="1034"/>
      <c r="R89" s="396"/>
    </row>
    <row r="90" spans="1:18" s="487" customFormat="1" ht="60" customHeight="1">
      <c r="A90" s="1029"/>
      <c r="B90" s="1031"/>
      <c r="C90" s="116" t="s">
        <v>318</v>
      </c>
      <c r="D90" s="117" t="s">
        <v>319</v>
      </c>
      <c r="E90" s="117" t="s">
        <v>320</v>
      </c>
      <c r="F90" s="118" t="s">
        <v>321</v>
      </c>
      <c r="G90" s="119" t="s">
        <v>322</v>
      </c>
      <c r="H90" s="120" t="s">
        <v>318</v>
      </c>
      <c r="I90" s="117" t="s">
        <v>319</v>
      </c>
      <c r="J90" s="117" t="s">
        <v>320</v>
      </c>
      <c r="K90" s="118" t="s">
        <v>321</v>
      </c>
      <c r="L90" s="119" t="s">
        <v>322</v>
      </c>
      <c r="M90" s="116" t="s">
        <v>318</v>
      </c>
      <c r="N90" s="117" t="s">
        <v>319</v>
      </c>
      <c r="O90" s="117" t="s">
        <v>320</v>
      </c>
      <c r="P90" s="118" t="s">
        <v>321</v>
      </c>
      <c r="Q90" s="119" t="s">
        <v>322</v>
      </c>
      <c r="R90" s="396"/>
    </row>
    <row r="91" spans="1:18" s="487" customFormat="1" ht="18" customHeight="1">
      <c r="A91" s="121">
        <f>A85+1</f>
        <v>42</v>
      </c>
      <c r="B91" s="122" t="s">
        <v>126</v>
      </c>
      <c r="C91" s="123">
        <f>IF('Project Description'!$C$92="Yes",H25,-'Travel Forecasts for Evaluation'!M31)</f>
        <v>0</v>
      </c>
      <c r="D91" s="166">
        <v>1.0000000000000001E-5</v>
      </c>
      <c r="E91" s="125">
        <f>C91*D91</f>
        <v>0</v>
      </c>
      <c r="F91" s="126" t="str">
        <f>IF($H$11="Attainment",680.4,IF($H$11="Maintenance",850.5,IF($H$11="Nonattainment",1020.6,"-")))</f>
        <v>-</v>
      </c>
      <c r="G91" s="127" t="str">
        <f>IF($H$11="(Select…)","-",E91*F91)</f>
        <v>-</v>
      </c>
      <c r="H91" s="128" t="str">
        <f>IF('Project Description'!$C$96="10 Years",-'Travel Forecasts for Evaluation'!N31,"---")</f>
        <v>---</v>
      </c>
      <c r="I91" s="166">
        <v>1.0000000000000001E-5</v>
      </c>
      <c r="J91" s="125" t="str">
        <f>IF('Project Description'!$C$96="10 Years",H91*I91,"---")</f>
        <v>---</v>
      </c>
      <c r="K91" s="126" t="str">
        <f>IF($H$11="Attainment",861.3,IF($H$11="Maintenance",1076.63,IF($H$11="Nonattainment",1291.95,"-")))</f>
        <v>-</v>
      </c>
      <c r="L91" s="127" t="str">
        <f>IF($H$11="(Select…)","-",IF('Project Description'!$C$96="10 Years",J91*K91,"---"))</f>
        <v>-</v>
      </c>
      <c r="M91" s="123" t="str">
        <f>IF('Project Description'!$C$96="20 Years",-'Travel Forecasts for Evaluation'!N31,"---")</f>
        <v>---</v>
      </c>
      <c r="N91" s="166">
        <v>1.0000000000000001E-5</v>
      </c>
      <c r="O91" s="125" t="str">
        <f>IF('Project Description'!$C$96="20 Years",M91*N91,"---")</f>
        <v>---</v>
      </c>
      <c r="P91" s="126" t="str">
        <f>IF($H$11="Attainment",896.4,IF($H$11="Maintenance",1120.5,IF($H$11="Nonattainment",1344.6,"-")))</f>
        <v>-</v>
      </c>
      <c r="Q91" s="127" t="str">
        <f>IF($H$11="(Select…)","-",IF('Project Description'!$C$96="20 Years",O91*P91,"---"))</f>
        <v>-</v>
      </c>
      <c r="R91" s="396"/>
    </row>
    <row r="92" spans="1:18" s="487" customFormat="1" ht="18" customHeight="1">
      <c r="A92" s="131">
        <f>A91+1</f>
        <v>43</v>
      </c>
      <c r="B92" s="132" t="s">
        <v>323</v>
      </c>
      <c r="C92" s="133">
        <f>-'Travel Forecasts for Evaluation'!M32</f>
        <v>0</v>
      </c>
      <c r="D92" s="167">
        <v>4.7999999999999996E-4</v>
      </c>
      <c r="E92" s="135">
        <f t="shared" ref="E92:E100" si="17">C92*D92</f>
        <v>0</v>
      </c>
      <c r="F92" s="136" t="str">
        <f>IF($H$11="Attainment",680.4,IF($H$11="Maintenance",850.5,IF($H$11="Nonattainment",1020.6,"-")))</f>
        <v>-</v>
      </c>
      <c r="G92" s="137" t="str">
        <f t="shared" ref="G92:G100" si="18">IF($H$11="(Select…)","-",E92*F92)</f>
        <v>-</v>
      </c>
      <c r="H92" s="138" t="str">
        <f>IF('Project Description'!$C$96="10 Years",-'Travel Forecasts for Evaluation'!N32,"---")</f>
        <v>---</v>
      </c>
      <c r="I92" s="167">
        <v>8.9999999999999992E-5</v>
      </c>
      <c r="J92" s="135" t="str">
        <f>IF('Project Description'!$C$96="10 Years",H92*I92,"---")</f>
        <v>---</v>
      </c>
      <c r="K92" s="136" t="str">
        <f>IF($H$11="Attainment",861.3,IF($H$11="Maintenance",1076.63,IF($H$11="Nonattainment",1291.95,"-")))</f>
        <v>-</v>
      </c>
      <c r="L92" s="137" t="str">
        <f>IF($H$11="(Select…)","-",IF('Project Description'!$C$96="10 Years",J92*K92,"---"))</f>
        <v>-</v>
      </c>
      <c r="M92" s="133" t="str">
        <f>IF('Project Description'!$C$96="20 Years",-'Travel Forecasts for Evaluation'!N32,"---")</f>
        <v>---</v>
      </c>
      <c r="N92" s="167">
        <v>2.9999999999999997E-5</v>
      </c>
      <c r="O92" s="135" t="str">
        <f>IF('Project Description'!$C$96="20 Years",M92*N92,"---")</f>
        <v>---</v>
      </c>
      <c r="P92" s="140" t="str">
        <f>IF($H$11="Attainment",896.4,IF($H$11="Maintenance",1120.5,IF($H$11="Nonattainment",1344.6,"-")))</f>
        <v>-</v>
      </c>
      <c r="Q92" s="141" t="str">
        <f>IF($H$11="(Select…)","-",IF('Project Description'!$C$96="20 Years",O92*P92,"---"))</f>
        <v>-</v>
      </c>
      <c r="R92" s="396"/>
    </row>
    <row r="93" spans="1:18" s="487" customFormat="1" ht="18" customHeight="1">
      <c r="A93" s="131">
        <f t="shared" ref="A93:A101" si="19">A92+1</f>
        <v>44</v>
      </c>
      <c r="B93" s="132" t="s">
        <v>324</v>
      </c>
      <c r="C93" s="133">
        <f>-'Travel Forecasts for Evaluation'!M33</f>
        <v>0</v>
      </c>
      <c r="D93" s="167">
        <v>4.7999999999999996E-4</v>
      </c>
      <c r="E93" s="135">
        <f t="shared" si="17"/>
        <v>0</v>
      </c>
      <c r="F93" s="136" t="str">
        <f>IF($H$11="Attainment",680.4,IF($H$11="Maintenance",850.5,IF($H$11="Nonattainment",1020.6,"-")))</f>
        <v>-</v>
      </c>
      <c r="G93" s="137" t="str">
        <f t="shared" si="18"/>
        <v>-</v>
      </c>
      <c r="H93" s="138" t="str">
        <f>IF('Project Description'!$C$96="10 Years",-'Travel Forecasts for Evaluation'!N33,"---")</f>
        <v>---</v>
      </c>
      <c r="I93" s="167">
        <v>8.9999999999999992E-5</v>
      </c>
      <c r="J93" s="135" t="str">
        <f>IF('Project Description'!$C$96="10 Years",H93*I93,"---")</f>
        <v>---</v>
      </c>
      <c r="K93" s="136" t="str">
        <f>IF($H$11="Attainment",861.3,IF($H$11="Maintenance",1076.63,IF($H$11="Nonattainment",1291.95,"-")))</f>
        <v>-</v>
      </c>
      <c r="L93" s="137" t="str">
        <f>IF($H$11="(Select…)","-",IF('Project Description'!$C$96="10 Years",J93*K93,"---"))</f>
        <v>-</v>
      </c>
      <c r="M93" s="133" t="str">
        <f>IF('Project Description'!$C$96="20 Years",-'Travel Forecasts for Evaluation'!N33,"---")</f>
        <v>---</v>
      </c>
      <c r="N93" s="167">
        <v>2.9999999999999997E-5</v>
      </c>
      <c r="O93" s="135" t="str">
        <f>IF('Project Description'!$C$96="20 Years",M93*N93,"---")</f>
        <v>---</v>
      </c>
      <c r="P93" s="140" t="str">
        <f>IF($H$11="Attainment",896.4,IF($H$11="Maintenance",1120.5,IF($H$11="Nonattainment",1344.6,"-")))</f>
        <v>-</v>
      </c>
      <c r="Q93" s="141" t="str">
        <f>IF($H$11="(Select…)","-",IF('Project Description'!$C$96="20 Years",O93*P93,"---"))</f>
        <v>-</v>
      </c>
      <c r="R93" s="396"/>
    </row>
    <row r="94" spans="1:18" s="487" customFormat="1" ht="18" customHeight="1">
      <c r="A94" s="131">
        <f t="shared" si="19"/>
        <v>45</v>
      </c>
      <c r="B94" s="132" t="s">
        <v>325</v>
      </c>
      <c r="C94" s="133">
        <f>-'Travel Forecasts for Evaluation'!M34</f>
        <v>0</v>
      </c>
      <c r="D94" s="167">
        <v>1.0000000000000001E-5</v>
      </c>
      <c r="E94" s="135">
        <f t="shared" si="17"/>
        <v>0</v>
      </c>
      <c r="F94" s="136" t="str">
        <f>IF($H$11="Attainment",680.4,IF($H$11="Maintenance",850.5,IF($H$11="Nonattainment",1020.6,"-")))</f>
        <v>-</v>
      </c>
      <c r="G94" s="137" t="str">
        <f t="shared" si="18"/>
        <v>-</v>
      </c>
      <c r="H94" s="138" t="str">
        <f>IF('Project Description'!$C$96="10 Years",-'Travel Forecasts for Evaluation'!N34,"---")</f>
        <v>---</v>
      </c>
      <c r="I94" s="167">
        <v>1.0000000000000001E-5</v>
      </c>
      <c r="J94" s="135" t="str">
        <f>IF('Project Description'!$C$96="10 Years",H94*I94,"---")</f>
        <v>---</v>
      </c>
      <c r="K94" s="136" t="str">
        <f>IF($H$11="Attainment",861.3,IF($H$11="Maintenance",1076.63,IF($H$11="Nonattainment",1291.95,"-")))</f>
        <v>-</v>
      </c>
      <c r="L94" s="137" t="str">
        <f>IF($H$11="(Select…)","-",IF('Project Description'!$C$96="10 Years",J94*K94,"---"))</f>
        <v>-</v>
      </c>
      <c r="M94" s="133" t="str">
        <f>IF('Project Description'!$C$96="20 Years",-'Travel Forecasts for Evaluation'!N34,"---")</f>
        <v>---</v>
      </c>
      <c r="N94" s="167">
        <v>1.0000000000000001E-5</v>
      </c>
      <c r="O94" s="135" t="str">
        <f>IF('Project Description'!$C$96="20 Years",M94*N94,"---")</f>
        <v>---</v>
      </c>
      <c r="P94" s="140" t="str">
        <f>IF($H$11="Attainment",896.4,IF($H$11="Maintenance",1120.5,IF($H$11="Nonattainment",1344.6,"-")))</f>
        <v>-</v>
      </c>
      <c r="Q94" s="141" t="str">
        <f>IF($H$11="(Select…)","-",IF('Project Description'!$C$96="20 Years",O94*P94,"---"))</f>
        <v>-</v>
      </c>
      <c r="R94" s="396"/>
    </row>
    <row r="95" spans="1:18" s="487" customFormat="1" ht="18" customHeight="1">
      <c r="A95" s="131">
        <f t="shared" si="19"/>
        <v>46</v>
      </c>
      <c r="B95" s="132" t="s">
        <v>326</v>
      </c>
      <c r="C95" s="133">
        <f>-'Travel Forecasts for Evaluation'!M35</f>
        <v>0</v>
      </c>
      <c r="D95" s="167">
        <v>3.7800000000000003E-4</v>
      </c>
      <c r="E95" s="135">
        <f t="shared" si="17"/>
        <v>0</v>
      </c>
      <c r="F95" s="136" t="str">
        <f>IF($H$11="Attainment",561.6,IF($H$11="Maintenance",702,IF($H$11="Nonattainment",842.4,"-")))</f>
        <v>-</v>
      </c>
      <c r="G95" s="137" t="str">
        <f t="shared" si="18"/>
        <v>-</v>
      </c>
      <c r="H95" s="138" t="str">
        <f>IF('Project Description'!$C$96="10 Years",-'Travel Forecasts for Evaluation'!N35,"---")</f>
        <v>---</v>
      </c>
      <c r="I95" s="167">
        <v>3.1300000000000002E-4</v>
      </c>
      <c r="J95" s="135" t="str">
        <f>IF('Project Description'!$C$96="10 Years",H95*I95,"---")</f>
        <v>---</v>
      </c>
      <c r="K95" s="136" t="str">
        <f>IF($H$11="Attainment",688.5,IF($H$11="Maintenance",860.63,IF($H$11="Nonattainment",1032.75,"-")))</f>
        <v>-</v>
      </c>
      <c r="L95" s="137" t="str">
        <f>IF($H$11="(Select…)","-",IF('Project Description'!$C$96="10 Years",J95*K95,"---"))</f>
        <v>-</v>
      </c>
      <c r="M95" s="133" t="str">
        <f>IF('Project Description'!$C$96="20 Years",-'Travel Forecasts for Evaluation'!N35,"---")</f>
        <v>---</v>
      </c>
      <c r="N95" s="167">
        <v>2.99E-4</v>
      </c>
      <c r="O95" s="135" t="str">
        <f>IF('Project Description'!$C$96="20 Years",M95*N95,"---")</f>
        <v>---</v>
      </c>
      <c r="P95" s="140" t="str">
        <f>IF($H$11="Attainment",712.8,IF($H$11="Maintenance",891,IF($H$11="Nonattainment",1069.2,"-")))</f>
        <v>-</v>
      </c>
      <c r="Q95" s="141" t="str">
        <f>IF($H$11="(Select…)","-",IF('Project Description'!$C$96="20 Years",O95*P95,"---"))</f>
        <v>-</v>
      </c>
      <c r="R95" s="396"/>
    </row>
    <row r="96" spans="1:18" s="487" customFormat="1" ht="18" customHeight="1">
      <c r="A96" s="131">
        <f t="shared" si="19"/>
        <v>47</v>
      </c>
      <c r="B96" s="132" t="s">
        <v>327</v>
      </c>
      <c r="C96" s="133">
        <f>-'Travel Forecasts for Evaluation'!M36</f>
        <v>0</v>
      </c>
      <c r="D96" s="167">
        <v>4.1299999999999996E-4</v>
      </c>
      <c r="E96" s="135">
        <f t="shared" si="17"/>
        <v>0</v>
      </c>
      <c r="F96" s="136" t="str">
        <f>IF($H$11="Attainment",561.6,IF($H$11="Maintenance",702,IF($H$11="Nonattainment",842.4,"-")))</f>
        <v>-</v>
      </c>
      <c r="G96" s="137" t="str">
        <f t="shared" si="18"/>
        <v>-</v>
      </c>
      <c r="H96" s="138" t="str">
        <f>IF('Project Description'!$C$96="10 Years",-'Travel Forecasts for Evaluation'!N36,"---")</f>
        <v>---</v>
      </c>
      <c r="I96" s="167">
        <v>3.9800000000000002E-4</v>
      </c>
      <c r="J96" s="135" t="str">
        <f>IF('Project Description'!$C$96="10 Years",H96*I96,"---")</f>
        <v>---</v>
      </c>
      <c r="K96" s="136" t="str">
        <f>IF($H$11="Attainment",688.5,IF($H$11="Maintenance",860.63,IF($H$11="Nonattainment",1032.75,"-")))</f>
        <v>-</v>
      </c>
      <c r="L96" s="137" t="str">
        <f>IF($H$11="(Select…)","-",IF('Project Description'!$C$96="10 Years",J96*K96,"---"))</f>
        <v>-</v>
      </c>
      <c r="M96" s="133" t="str">
        <f>IF('Project Description'!$C$96="20 Years",-'Travel Forecasts for Evaluation'!N36,"---")</f>
        <v>---</v>
      </c>
      <c r="N96" s="167">
        <v>3.9899999999999999E-4</v>
      </c>
      <c r="O96" s="135" t="str">
        <f>IF('Project Description'!$C$96="20 Years",M96*N96,"---")</f>
        <v>---</v>
      </c>
      <c r="P96" s="140" t="str">
        <f>IF($H$11="Attainment",712.8,IF($H$11="Maintenance",891,IF($H$11="Nonattainment",1069.2,"-")))</f>
        <v>-</v>
      </c>
      <c r="Q96" s="141" t="str">
        <f>IF($H$11="(Select…)","-",IF('Project Description'!$C$96="20 Years",O96*P96,"---"))</f>
        <v>-</v>
      </c>
      <c r="R96" s="396"/>
    </row>
    <row r="97" spans="1:18" s="487" customFormat="1" ht="18" customHeight="1">
      <c r="A97" s="131">
        <f t="shared" si="19"/>
        <v>48</v>
      </c>
      <c r="B97" s="132" t="s">
        <v>328</v>
      </c>
      <c r="C97" s="133">
        <f>-'Travel Forecasts for Evaluation'!M37</f>
        <v>0</v>
      </c>
      <c r="D97" s="167">
        <v>6.1499999999999999E-4</v>
      </c>
      <c r="E97" s="135">
        <f t="shared" si="17"/>
        <v>0</v>
      </c>
      <c r="F97" s="136" t="str">
        <f>IF($H$11="Attainment",561.6,IF($H$11="Maintenance",702,IF($H$11="Nonattainment",842.4,"-")))</f>
        <v>-</v>
      </c>
      <c r="G97" s="137" t="str">
        <f t="shared" si="18"/>
        <v>-</v>
      </c>
      <c r="H97" s="138" t="str">
        <f>IF('Project Description'!$C$96="10 Years",-'Travel Forecasts for Evaluation'!N37,"---")</f>
        <v>---</v>
      </c>
      <c r="I97" s="167">
        <v>5.9299999999999999E-4</v>
      </c>
      <c r="J97" s="135" t="str">
        <f>IF('Project Description'!$C$96="10 Years",H97*I97,"---")</f>
        <v>---</v>
      </c>
      <c r="K97" s="136" t="str">
        <f>IF($H$11="Attainment",688.5,IF($H$11="Maintenance",860.63,IF($H$11="Nonattainment",1032.75,"-")))</f>
        <v>-</v>
      </c>
      <c r="L97" s="137" t="str">
        <f>IF($H$11="(Select…)","-",IF('Project Description'!$C$96="10 Years",J97*K97,"---"))</f>
        <v>-</v>
      </c>
      <c r="M97" s="133" t="str">
        <f>IF('Project Description'!$C$96="20 Years",-'Travel Forecasts for Evaluation'!N37,"---")</f>
        <v>---</v>
      </c>
      <c r="N97" s="167">
        <v>5.9299999999999999E-4</v>
      </c>
      <c r="O97" s="135" t="str">
        <f>IF('Project Description'!$C$96="20 Years",M97*N97,"---")</f>
        <v>---</v>
      </c>
      <c r="P97" s="140" t="str">
        <f>IF($H$11="Attainment",712.8,IF($H$11="Maintenance",891,IF($H$11="Nonattainment",1069.2,"-")))</f>
        <v>-</v>
      </c>
      <c r="Q97" s="141" t="str">
        <f>IF($H$11="(Select…)","-",IF('Project Description'!$C$96="20 Years",O97*P97,"---"))</f>
        <v>-</v>
      </c>
      <c r="R97" s="396"/>
    </row>
    <row r="98" spans="1:18" s="487" customFormat="1" ht="26">
      <c r="A98" s="131">
        <f t="shared" si="19"/>
        <v>49</v>
      </c>
      <c r="B98" s="132" t="s">
        <v>329</v>
      </c>
      <c r="C98" s="133">
        <f>-'Travel Forecasts for Evaluation'!M38</f>
        <v>0</v>
      </c>
      <c r="D98" s="167">
        <v>1.9000000000000001E-4</v>
      </c>
      <c r="E98" s="135">
        <f t="shared" si="17"/>
        <v>0</v>
      </c>
      <c r="F98" s="136" t="str">
        <f>IF($H$11="Attainment",680.4,IF($H$11="Maintenance",850.5,IF($H$11="Nonattainment",1020.6,"-")))</f>
        <v>-</v>
      </c>
      <c r="G98" s="137" t="str">
        <f t="shared" si="18"/>
        <v>-</v>
      </c>
      <c r="H98" s="138" t="str">
        <f>IF('Project Description'!$C$96="10 Years",-'Travel Forecasts for Evaluation'!N38,"---")</f>
        <v>---</v>
      </c>
      <c r="I98" s="167">
        <v>1.9000000000000001E-4</v>
      </c>
      <c r="J98" s="135" t="str">
        <f>IF('Project Description'!$C$96="10 Years",H98*I98,"---")</f>
        <v>---</v>
      </c>
      <c r="K98" s="136" t="str">
        <f>IF($H$11="Attainment",861.3,IF($H$11="Maintenance",1076.63,IF($H$11="Nonattainment",1291.95,"-")))</f>
        <v>-</v>
      </c>
      <c r="L98" s="137" t="str">
        <f>IF($H$11="(Select…)","-",IF('Project Description'!$C$96="10 Years",J98*K98,"---"))</f>
        <v>-</v>
      </c>
      <c r="M98" s="133" t="str">
        <f>IF('Project Description'!$C$96="20 Years",-'Travel Forecasts for Evaluation'!N38,"---")</f>
        <v>---</v>
      </c>
      <c r="N98" s="167">
        <v>1.9000000000000001E-4</v>
      </c>
      <c r="O98" s="135" t="str">
        <f>IF('Project Description'!$C$96="20 Years",M98*N98,"---")</f>
        <v>---</v>
      </c>
      <c r="P98" s="140" t="str">
        <f>IF($H$11="Attainment",896.4,IF($H$11="Maintenance",1120.5,IF($H$11="Nonattainment",1344.6,"-")))</f>
        <v>-</v>
      </c>
      <c r="Q98" s="141" t="str">
        <f>IF($H$11="(Select…)","-",IF('Project Description'!$C$96="20 Years",O98*P98,"---"))</f>
        <v>-</v>
      </c>
      <c r="R98" s="396"/>
    </row>
    <row r="99" spans="1:18" s="487" customFormat="1" ht="26">
      <c r="A99" s="131">
        <f t="shared" si="19"/>
        <v>50</v>
      </c>
      <c r="B99" s="132" t="s">
        <v>330</v>
      </c>
      <c r="C99" s="133">
        <f>-'Travel Forecasts for Evaluation'!M39</f>
        <v>0</v>
      </c>
      <c r="D99" s="167">
        <v>4.5999999999999999E-3</v>
      </c>
      <c r="E99" s="135">
        <f t="shared" si="17"/>
        <v>0</v>
      </c>
      <c r="F99" s="136" t="str">
        <f>IF($H$11="Attainment",680.4,IF($H$11="Maintenance",850.5,IF($H$11="Nonattainment",1020.6,"-")))</f>
        <v>-</v>
      </c>
      <c r="G99" s="137" t="str">
        <f t="shared" si="18"/>
        <v>-</v>
      </c>
      <c r="H99" s="138" t="str">
        <f>IF('Project Description'!$C$96="10 Years",-'Travel Forecasts for Evaluation'!N39,"---")</f>
        <v>---</v>
      </c>
      <c r="I99" s="167">
        <v>1.33E-3</v>
      </c>
      <c r="J99" s="135" t="str">
        <f>IF('Project Description'!$C$96="10 Years",H99*I99,"---")</f>
        <v>---</v>
      </c>
      <c r="K99" s="136" t="str">
        <f>IF($H$11="Attainment",861.3,IF($H$11="Maintenance",1076.63,IF($H$11="Nonattainment",1291.95,"-")))</f>
        <v>-</v>
      </c>
      <c r="L99" s="137" t="str">
        <f>IF($H$11="(Select…)","-",IF('Project Description'!$C$96="10 Years",J99*K99,"---"))</f>
        <v>-</v>
      </c>
      <c r="M99" s="133" t="str">
        <f>IF('Project Description'!$C$96="20 Years",-'Travel Forecasts for Evaluation'!N39,"---")</f>
        <v>---</v>
      </c>
      <c r="N99" s="167">
        <v>4.6999999999999999E-4</v>
      </c>
      <c r="O99" s="135" t="str">
        <f>IF('Project Description'!$C$96="20 Years",M99*N99,"---")</f>
        <v>---</v>
      </c>
      <c r="P99" s="140" t="str">
        <f>IF($H$11="Attainment",896.4,IF($H$11="Maintenance",1120.5,IF($H$11="Nonattainment",1344.6,"-")))</f>
        <v>-</v>
      </c>
      <c r="Q99" s="141" t="str">
        <f>IF($H$11="(Select…)","-",IF('Project Description'!$C$96="20 Years",O99*P99,"---"))</f>
        <v>-</v>
      </c>
      <c r="R99" s="396"/>
    </row>
    <row r="100" spans="1:18" s="487" customFormat="1" ht="18" customHeight="1">
      <c r="A100" s="142">
        <f t="shared" si="19"/>
        <v>51</v>
      </c>
      <c r="B100" s="143" t="s">
        <v>331</v>
      </c>
      <c r="C100" s="144">
        <f>-'Travel Forecasts for Evaluation'!M40</f>
        <v>0</v>
      </c>
      <c r="D100" s="168">
        <v>7.5000000000000002E-4</v>
      </c>
      <c r="E100" s="146">
        <f t="shared" si="17"/>
        <v>0</v>
      </c>
      <c r="F100" s="147" t="str">
        <f>IF($H$11="Attainment",561.6,IF($H$11="Maintenance",702,IF($H$11="Nonattainment",842.4,"-")))</f>
        <v>-</v>
      </c>
      <c r="G100" s="148" t="str">
        <f t="shared" si="18"/>
        <v>-</v>
      </c>
      <c r="H100" s="149" t="str">
        <f>IF('Project Description'!$C$96="10 Years",-'Travel Forecasts for Evaluation'!N40,"---")</f>
        <v>---</v>
      </c>
      <c r="I100" s="168">
        <v>7.2199999999999999E-4</v>
      </c>
      <c r="J100" s="146" t="str">
        <f>IF('Project Description'!$C$96="10 Years",H100*I100,"---")</f>
        <v>---</v>
      </c>
      <c r="K100" s="147" t="str">
        <f>IF($H$11="Attainment",688.5,IF($H$11="Maintenance",860.63,IF($H$11="Nonattainment",1032.75,"-")))</f>
        <v>-</v>
      </c>
      <c r="L100" s="148" t="str">
        <f>IF($H$11="(Select…)","-",IF('Project Description'!$C$96="10 Years",J100*K100,"---"))</f>
        <v>-</v>
      </c>
      <c r="M100" s="144" t="str">
        <f>IF('Project Description'!$C$96="20 Years",-'Travel Forecasts for Evaluation'!N40,"---")</f>
        <v>---</v>
      </c>
      <c r="N100" s="168">
        <v>7.2300000000000001E-4</v>
      </c>
      <c r="O100" s="146" t="str">
        <f>IF('Project Description'!$C$96="20 Years",M100*N100,"---")</f>
        <v>---</v>
      </c>
      <c r="P100" s="151" t="str">
        <f>IF($H$11="Attainment",712.8,IF($H$11="Maintenance",891,IF($H$11="Nonattainment",1069.2,"-")))</f>
        <v>-</v>
      </c>
      <c r="Q100" s="152" t="str">
        <f>IF($H$11="(Select…)","-",IF('Project Description'!$C$96="20 Years",O100*P100,"---"))</f>
        <v>-</v>
      </c>
      <c r="R100" s="396"/>
    </row>
    <row r="101" spans="1:18" ht="16" thickBot="1">
      <c r="A101" s="153">
        <f t="shared" si="19"/>
        <v>52</v>
      </c>
      <c r="B101" s="154" t="s">
        <v>332</v>
      </c>
      <c r="C101" s="155">
        <f>SUM(C91:C100)</f>
        <v>0</v>
      </c>
      <c r="D101" s="156" t="s">
        <v>112</v>
      </c>
      <c r="E101" s="157">
        <f>SUM(E91:E100)</f>
        <v>0</v>
      </c>
      <c r="F101" s="158" t="s">
        <v>112</v>
      </c>
      <c r="G101" s="159">
        <f>SUM(G91:G100)</f>
        <v>0</v>
      </c>
      <c r="H101" s="160" t="str">
        <f>IF('Project Description'!$C$96="10 Years",SUM(H91:H100),"---")</f>
        <v>---</v>
      </c>
      <c r="I101" s="161" t="s">
        <v>112</v>
      </c>
      <c r="J101" s="157" t="str">
        <f>IF('Project Description'!$C$96="10 Years",SUM(J91:J100),"---")</f>
        <v>---</v>
      </c>
      <c r="K101" s="162" t="s">
        <v>112</v>
      </c>
      <c r="L101" s="159" t="str">
        <f>IF('Project Description'!$C$96="10 Years",SUM(L91:L100),"---")</f>
        <v>---</v>
      </c>
      <c r="M101" s="155" t="str">
        <f>IF('Project Description'!$C$96="20 Years",SUM(M91:M100),"---")</f>
        <v>---</v>
      </c>
      <c r="N101" s="161" t="s">
        <v>112</v>
      </c>
      <c r="O101" s="157" t="str">
        <f>IF('Project Description'!$C$96="20 Years",SUM(O91:O100),"---")</f>
        <v>---</v>
      </c>
      <c r="P101" s="162" t="s">
        <v>112</v>
      </c>
      <c r="Q101" s="159" t="str">
        <f>IF('Project Description'!$C$96="20 Years",SUM(Q91:Q100),"---")</f>
        <v>---</v>
      </c>
    </row>
    <row r="102" spans="1:18" ht="16" thickBot="1">
      <c r="A102" s="264"/>
      <c r="B102" s="265"/>
      <c r="C102" s="266"/>
      <c r="D102" s="267"/>
      <c r="E102" s="268"/>
      <c r="F102" s="267"/>
      <c r="G102" s="269"/>
      <c r="H102" s="266"/>
      <c r="I102" s="270"/>
      <c r="J102" s="268"/>
      <c r="K102" s="270"/>
      <c r="L102" s="269"/>
      <c r="M102" s="266"/>
      <c r="N102" s="270"/>
      <c r="O102" s="268"/>
      <c r="P102" s="270"/>
      <c r="Q102" s="269"/>
    </row>
    <row r="103" spans="1:18" ht="18.75" customHeight="1" thickBot="1">
      <c r="A103" s="1022" t="s">
        <v>337</v>
      </c>
      <c r="B103" s="1023"/>
      <c r="C103" s="1023"/>
      <c r="D103" s="1023"/>
      <c r="E103" s="1023"/>
      <c r="F103" s="1023"/>
      <c r="G103" s="1023"/>
      <c r="H103" s="1023"/>
      <c r="I103" s="1023"/>
      <c r="J103" s="1023"/>
      <c r="K103" s="1023"/>
      <c r="L103" s="1023"/>
      <c r="M103" s="1023"/>
      <c r="N103" s="1023"/>
      <c r="O103" s="1023"/>
      <c r="P103" s="1023"/>
      <c r="Q103" s="1024"/>
      <c r="R103" s="502"/>
    </row>
    <row r="104" spans="1:18" s="100" customFormat="1" ht="16" thickBot="1">
      <c r="C104" s="231"/>
      <c r="D104" s="231"/>
      <c r="E104" s="232"/>
      <c r="F104" s="232"/>
      <c r="G104" s="232"/>
      <c r="H104" s="232"/>
    </row>
    <row r="105" spans="1:18" ht="18" thickBot="1">
      <c r="A105" s="1025" t="s">
        <v>338</v>
      </c>
      <c r="B105" s="1026"/>
      <c r="C105" s="1026"/>
      <c r="D105" s="1026"/>
      <c r="E105" s="1026"/>
      <c r="F105" s="1026"/>
      <c r="G105" s="1026"/>
      <c r="H105" s="1026"/>
      <c r="I105" s="1026"/>
      <c r="J105" s="1026"/>
      <c r="K105" s="1026"/>
      <c r="L105" s="1026"/>
      <c r="M105" s="1026"/>
      <c r="N105" s="1026"/>
      <c r="O105" s="1026"/>
      <c r="P105" s="1026"/>
      <c r="Q105" s="1027"/>
      <c r="R105" s="236"/>
    </row>
    <row r="106" spans="1:18" s="487" customFormat="1" ht="15.5">
      <c r="A106" s="1028" t="s">
        <v>83</v>
      </c>
      <c r="B106" s="1030" t="s">
        <v>315</v>
      </c>
      <c r="C106" s="1032" t="s">
        <v>33</v>
      </c>
      <c r="D106" s="1033"/>
      <c r="E106" s="1033"/>
      <c r="F106" s="1033"/>
      <c r="G106" s="1034"/>
      <c r="H106" s="1033" t="s">
        <v>316</v>
      </c>
      <c r="I106" s="1033"/>
      <c r="J106" s="1033"/>
      <c r="K106" s="1033"/>
      <c r="L106" s="1033"/>
      <c r="M106" s="1032" t="s">
        <v>317</v>
      </c>
      <c r="N106" s="1033"/>
      <c r="O106" s="1033"/>
      <c r="P106" s="1033"/>
      <c r="Q106" s="1034"/>
      <c r="R106" s="396"/>
    </row>
    <row r="107" spans="1:18" s="487" customFormat="1" ht="60.75" customHeight="1">
      <c r="A107" s="1029"/>
      <c r="B107" s="1031"/>
      <c r="C107" s="116" t="s">
        <v>318</v>
      </c>
      <c r="D107" s="117" t="s">
        <v>339</v>
      </c>
      <c r="E107" s="117" t="s">
        <v>340</v>
      </c>
      <c r="F107" s="118" t="s">
        <v>341</v>
      </c>
      <c r="G107" s="119" t="s">
        <v>322</v>
      </c>
      <c r="H107" s="120" t="s">
        <v>318</v>
      </c>
      <c r="I107" s="117" t="s">
        <v>339</v>
      </c>
      <c r="J107" s="117" t="s">
        <v>340</v>
      </c>
      <c r="K107" s="118" t="s">
        <v>341</v>
      </c>
      <c r="L107" s="119" t="s">
        <v>322</v>
      </c>
      <c r="M107" s="116" t="s">
        <v>318</v>
      </c>
      <c r="N107" s="117" t="s">
        <v>339</v>
      </c>
      <c r="O107" s="117" t="s">
        <v>340</v>
      </c>
      <c r="P107" s="118" t="s">
        <v>341</v>
      </c>
      <c r="Q107" s="119" t="s">
        <v>322</v>
      </c>
      <c r="R107" s="396"/>
    </row>
    <row r="108" spans="1:18" s="487" customFormat="1" ht="18" customHeight="1">
      <c r="A108" s="121">
        <f>A101+1</f>
        <v>53</v>
      </c>
      <c r="B108" s="122" t="s">
        <v>126</v>
      </c>
      <c r="C108" s="123">
        <f>IF('Project Description'!$C$92="Yes",H25,-'Travel Forecasts for Evaluation'!M31)</f>
        <v>0</v>
      </c>
      <c r="D108" s="166">
        <v>5.3200000000000003E-4</v>
      </c>
      <c r="E108" s="125">
        <f>C108*D108</f>
        <v>0</v>
      </c>
      <c r="F108" s="126">
        <v>38</v>
      </c>
      <c r="G108" s="127" t="str">
        <f t="shared" ref="G108:G117" si="20">IF($H$8="(Select…)","-",E108*F108)</f>
        <v>-</v>
      </c>
      <c r="H108" s="128" t="str">
        <f>IF('Project Description'!$C$96="10 Years",-'Travel Forecasts for Evaluation'!N31,"---")</f>
        <v>---</v>
      </c>
      <c r="I108" s="166">
        <v>4.3399999999999998E-4</v>
      </c>
      <c r="J108" s="125" t="str">
        <f>IF('Project Description'!$C$96="10 Years",H108*I108,"---")</f>
        <v>---</v>
      </c>
      <c r="K108" s="126">
        <v>38</v>
      </c>
      <c r="L108" s="127" t="str">
        <f>IF($H$8="(Select…)","-",IF('Project Description'!$C$96="10 Years",J108*K108,"---"))</f>
        <v>-</v>
      </c>
      <c r="M108" s="123" t="str">
        <f>IF('Project Description'!$C$96="20 Years",-'Travel Forecasts for Evaluation'!N31,"---")</f>
        <v>---</v>
      </c>
      <c r="N108" s="166">
        <v>3.97E-4</v>
      </c>
      <c r="O108" s="125" t="str">
        <f>IF('Project Description'!$C$96="20 Years",M108*N108,"---")</f>
        <v>---</v>
      </c>
      <c r="P108" s="126">
        <v>38</v>
      </c>
      <c r="Q108" s="127" t="str">
        <f>IF($H$8="(Select…)","-",IF('Project Description'!$C$96="20 Years",O108*P108,"---"))</f>
        <v>-</v>
      </c>
      <c r="R108" s="396"/>
    </row>
    <row r="109" spans="1:18" s="487" customFormat="1" ht="18" customHeight="1">
      <c r="A109" s="131">
        <f>A108+1</f>
        <v>54</v>
      </c>
      <c r="B109" s="132" t="s">
        <v>323</v>
      </c>
      <c r="C109" s="133">
        <f>-'Travel Forecasts for Evaluation'!M32</f>
        <v>0</v>
      </c>
      <c r="D109" s="167">
        <v>3.3189999999999999E-3</v>
      </c>
      <c r="E109" s="135">
        <f t="shared" ref="E109:E117" si="21">C109*D109</f>
        <v>0</v>
      </c>
      <c r="F109" s="136">
        <v>38</v>
      </c>
      <c r="G109" s="137" t="str">
        <f t="shared" si="20"/>
        <v>-</v>
      </c>
      <c r="H109" s="138" t="str">
        <f>IF('Project Description'!$C$96="10 Years",-'Travel Forecasts for Evaluation'!N32,"---")</f>
        <v>---</v>
      </c>
      <c r="I109" s="167">
        <v>2.8540000000000002E-3</v>
      </c>
      <c r="J109" s="135" t="str">
        <f>IF('Project Description'!$C$96="10 Years",H109*I109,"---")</f>
        <v>---</v>
      </c>
      <c r="K109" s="136">
        <v>38</v>
      </c>
      <c r="L109" s="137" t="str">
        <f>IF($H$8="(Select…)","-",IF('Project Description'!$C$96="10 Years",J109*K109,"---"))</f>
        <v>-</v>
      </c>
      <c r="M109" s="133" t="str">
        <f>IF('Project Description'!$C$96="20 Years",-'Travel Forecasts for Evaluation'!N32,"---")</f>
        <v>---</v>
      </c>
      <c r="N109" s="167">
        <v>2.7209999999999999E-3</v>
      </c>
      <c r="O109" s="135" t="str">
        <f>IF('Project Description'!$C$96="20 Years",M109*N109,"---")</f>
        <v>---</v>
      </c>
      <c r="P109" s="140">
        <v>38</v>
      </c>
      <c r="Q109" s="141" t="str">
        <f>IF($H$8="(Select…)","-",IF('Project Description'!$C$96="20 Years",O109*P109,"---"))</f>
        <v>-</v>
      </c>
      <c r="R109" s="396"/>
    </row>
    <row r="110" spans="1:18" s="487" customFormat="1" ht="18" customHeight="1">
      <c r="A110" s="131">
        <f t="shared" ref="A110:A118" si="22">A109+1</f>
        <v>55</v>
      </c>
      <c r="B110" s="132" t="s">
        <v>324</v>
      </c>
      <c r="C110" s="133">
        <f>-'Travel Forecasts for Evaluation'!M33</f>
        <v>0</v>
      </c>
      <c r="D110" s="167">
        <v>2.6549999999999998E-3</v>
      </c>
      <c r="E110" s="135">
        <f t="shared" si="21"/>
        <v>0</v>
      </c>
      <c r="F110" s="136">
        <v>38</v>
      </c>
      <c r="G110" s="137" t="str">
        <f t="shared" si="20"/>
        <v>-</v>
      </c>
      <c r="H110" s="138" t="str">
        <f>IF('Project Description'!$C$96="10 Years",-'Travel Forecasts for Evaluation'!N33,"---")</f>
        <v>---</v>
      </c>
      <c r="I110" s="167">
        <v>2.2829999999999999E-3</v>
      </c>
      <c r="J110" s="135" t="str">
        <f>IF('Project Description'!$C$96="10 Years",H110*I110,"---")</f>
        <v>---</v>
      </c>
      <c r="K110" s="136">
        <v>38</v>
      </c>
      <c r="L110" s="137" t="str">
        <f>IF($H$8="(Select…)","-",IF('Project Description'!$C$96="10 Years",J110*K110,"---"))</f>
        <v>-</v>
      </c>
      <c r="M110" s="133" t="str">
        <f>IF('Project Description'!$C$96="20 Years",-'Travel Forecasts for Evaluation'!N33,"---")</f>
        <v>---</v>
      </c>
      <c r="N110" s="167">
        <v>2.1770000000000001E-3</v>
      </c>
      <c r="O110" s="135" t="str">
        <f>IF('Project Description'!$C$96="20 Years",M110*N110,"---")</f>
        <v>---</v>
      </c>
      <c r="P110" s="140">
        <v>38</v>
      </c>
      <c r="Q110" s="141" t="str">
        <f>IF($H$8="(Select…)","-",IF('Project Description'!$C$96="20 Years",O110*P110,"---"))</f>
        <v>-</v>
      </c>
      <c r="R110" s="396"/>
    </row>
    <row r="111" spans="1:18" s="487" customFormat="1" ht="18" customHeight="1">
      <c r="A111" s="131">
        <f t="shared" si="22"/>
        <v>56</v>
      </c>
      <c r="B111" s="132" t="s">
        <v>325</v>
      </c>
      <c r="C111" s="133">
        <f>-'Travel Forecasts for Evaluation'!M34</f>
        <v>0</v>
      </c>
      <c r="D111" s="167">
        <v>2.9350000000000001E-3</v>
      </c>
      <c r="E111" s="135">
        <f t="shared" si="21"/>
        <v>0</v>
      </c>
      <c r="F111" s="136">
        <v>38</v>
      </c>
      <c r="G111" s="137" t="str">
        <f t="shared" si="20"/>
        <v>-</v>
      </c>
      <c r="H111" s="138" t="str">
        <f>IF('Project Description'!$C$96="10 Years",-'Travel Forecasts for Evaluation'!N34,"---")</f>
        <v>---</v>
      </c>
      <c r="I111" s="167">
        <v>2.5240000000000002E-3</v>
      </c>
      <c r="J111" s="135" t="str">
        <f>IF('Project Description'!$C$96="10 Years",H111*I111,"---")</f>
        <v>---</v>
      </c>
      <c r="K111" s="136">
        <v>38</v>
      </c>
      <c r="L111" s="137" t="str">
        <f>IF($H$8="(Select…)","-",IF('Project Description'!$C$96="10 Years",J111*K111,"---"))</f>
        <v>-</v>
      </c>
      <c r="M111" s="133" t="str">
        <f>IF('Project Description'!$C$96="20 Years",-'Travel Forecasts for Evaluation'!N34,"---")</f>
        <v>---</v>
      </c>
      <c r="N111" s="167">
        <v>2.4060000000000002E-3</v>
      </c>
      <c r="O111" s="135" t="str">
        <f>IF('Project Description'!$C$96="20 Years",M111*N111,"---")</f>
        <v>---</v>
      </c>
      <c r="P111" s="140">
        <v>38</v>
      </c>
      <c r="Q111" s="141" t="str">
        <f>IF($H$8="(Select…)","-",IF('Project Description'!$C$96="20 Years",O111*P111,"---"))</f>
        <v>-</v>
      </c>
      <c r="R111" s="396"/>
    </row>
    <row r="112" spans="1:18" s="487" customFormat="1" ht="18" customHeight="1">
      <c r="A112" s="131">
        <f t="shared" si="22"/>
        <v>57</v>
      </c>
      <c r="B112" s="132" t="s">
        <v>326</v>
      </c>
      <c r="C112" s="133">
        <f>-'Travel Forecasts for Evaluation'!M35</f>
        <v>0</v>
      </c>
      <c r="D112" s="167">
        <v>2.934E-3</v>
      </c>
      <c r="E112" s="135">
        <f t="shared" si="21"/>
        <v>0</v>
      </c>
      <c r="F112" s="136">
        <v>38</v>
      </c>
      <c r="G112" s="137" t="str">
        <f t="shared" si="20"/>
        <v>-</v>
      </c>
      <c r="H112" s="138" t="str">
        <f>IF('Project Description'!$C$96="10 Years",-'Travel Forecasts for Evaluation'!N35,"---")</f>
        <v>---</v>
      </c>
      <c r="I112" s="167">
        <v>2.441E-3</v>
      </c>
      <c r="J112" s="135" t="str">
        <f>IF('Project Description'!$C$96="10 Years",H112*I112,"---")</f>
        <v>---</v>
      </c>
      <c r="K112" s="136">
        <v>38</v>
      </c>
      <c r="L112" s="137" t="str">
        <f>IF($H$8="(Select…)","-",IF('Project Description'!$C$96="10 Years",J112*K112,"---"))</f>
        <v>-</v>
      </c>
      <c r="M112" s="133" t="str">
        <f>IF('Project Description'!$C$96="20 Years",-'Travel Forecasts for Evaluation'!N35,"---")</f>
        <v>---</v>
      </c>
      <c r="N112" s="167">
        <v>2.3029999999999999E-3</v>
      </c>
      <c r="O112" s="135" t="str">
        <f>IF('Project Description'!$C$96="20 Years",M112*N112,"---")</f>
        <v>---</v>
      </c>
      <c r="P112" s="140">
        <v>38</v>
      </c>
      <c r="Q112" s="141" t="str">
        <f>IF($H$8="(Select…)","-",IF('Project Description'!$C$96="20 Years",O112*P112,"---"))</f>
        <v>-</v>
      </c>
      <c r="R112" s="396"/>
    </row>
    <row r="113" spans="1:18" s="487" customFormat="1" ht="18" customHeight="1">
      <c r="A113" s="131">
        <f t="shared" si="22"/>
        <v>58</v>
      </c>
      <c r="B113" s="132" t="s">
        <v>327</v>
      </c>
      <c r="C113" s="133">
        <f>-'Travel Forecasts for Evaluation'!M36</f>
        <v>0</v>
      </c>
      <c r="D113" s="167">
        <v>3.2109999999999999E-3</v>
      </c>
      <c r="E113" s="135">
        <f t="shared" si="21"/>
        <v>0</v>
      </c>
      <c r="F113" s="136">
        <v>38</v>
      </c>
      <c r="G113" s="137" t="str">
        <f t="shared" si="20"/>
        <v>-</v>
      </c>
      <c r="H113" s="138" t="str">
        <f>IF('Project Description'!$C$96="10 Years",-'Travel Forecasts for Evaluation'!N36,"---")</f>
        <v>---</v>
      </c>
      <c r="I113" s="167">
        <v>3.1059999999999998E-3</v>
      </c>
      <c r="J113" s="135" t="str">
        <f>IF('Project Description'!$C$96="10 Years",H113*I113,"---")</f>
        <v>---</v>
      </c>
      <c r="K113" s="136">
        <v>38</v>
      </c>
      <c r="L113" s="137" t="str">
        <f>IF($H$8="(Select…)","-",IF('Project Description'!$C$96="10 Years",J113*K113,"---"))</f>
        <v>-</v>
      </c>
      <c r="M113" s="133" t="str">
        <f>IF('Project Description'!$C$96="20 Years",-'Travel Forecasts for Evaluation'!N36,"---")</f>
        <v>---</v>
      </c>
      <c r="N113" s="167">
        <v>3.0730000000000002E-3</v>
      </c>
      <c r="O113" s="135" t="str">
        <f>IF('Project Description'!$C$96="20 Years",M113*N113,"---")</f>
        <v>---</v>
      </c>
      <c r="P113" s="140">
        <v>38</v>
      </c>
      <c r="Q113" s="141" t="str">
        <f>IF($H$8="(Select…)","-",IF('Project Description'!$C$96="20 Years",O113*P113,"---"))</f>
        <v>-</v>
      </c>
      <c r="R113" s="396"/>
    </row>
    <row r="114" spans="1:18" s="487" customFormat="1" ht="18" customHeight="1">
      <c r="A114" s="131">
        <f t="shared" si="22"/>
        <v>59</v>
      </c>
      <c r="B114" s="132" t="s">
        <v>328</v>
      </c>
      <c r="C114" s="133">
        <f>-'Travel Forecasts for Evaluation'!M37</f>
        <v>0</v>
      </c>
      <c r="D114" s="167">
        <v>4.7790000000000003E-3</v>
      </c>
      <c r="E114" s="135">
        <f t="shared" si="21"/>
        <v>0</v>
      </c>
      <c r="F114" s="136">
        <v>38</v>
      </c>
      <c r="G114" s="137" t="str">
        <f t="shared" si="20"/>
        <v>-</v>
      </c>
      <c r="H114" s="138" t="str">
        <f>IF('Project Description'!$C$96="10 Years",-'Travel Forecasts for Evaluation'!N37,"---")</f>
        <v>---</v>
      </c>
      <c r="I114" s="167">
        <v>4.6230000000000004E-3</v>
      </c>
      <c r="J114" s="135" t="str">
        <f>IF('Project Description'!$C$96="10 Years",H114*I114,"---")</f>
        <v>---</v>
      </c>
      <c r="K114" s="136">
        <v>38</v>
      </c>
      <c r="L114" s="137" t="str">
        <f>IF($H$8="(Select…)","-",IF('Project Description'!$C$96="10 Years",J114*K114,"---"))</f>
        <v>-</v>
      </c>
      <c r="M114" s="133" t="str">
        <f>IF('Project Description'!$C$96="20 Years",-'Travel Forecasts for Evaluation'!N37,"---")</f>
        <v>---</v>
      </c>
      <c r="N114" s="167">
        <v>4.5739999999999999E-3</v>
      </c>
      <c r="O114" s="135" t="str">
        <f>IF('Project Description'!$C$96="20 Years",M114*N114,"---")</f>
        <v>---</v>
      </c>
      <c r="P114" s="140">
        <v>38</v>
      </c>
      <c r="Q114" s="141" t="str">
        <f>IF($H$8="(Select…)","-",IF('Project Description'!$C$96="20 Years",O114*P114,"---"))</f>
        <v>-</v>
      </c>
      <c r="R114" s="396"/>
    </row>
    <row r="115" spans="1:18" s="487" customFormat="1" ht="26">
      <c r="A115" s="131">
        <f t="shared" si="22"/>
        <v>60</v>
      </c>
      <c r="B115" s="132" t="s">
        <v>329</v>
      </c>
      <c r="C115" s="133">
        <f>-'Travel Forecasts for Evaluation'!M38</f>
        <v>0</v>
      </c>
      <c r="D115" s="167">
        <v>7.9699999999999997E-3</v>
      </c>
      <c r="E115" s="135">
        <f t="shared" si="21"/>
        <v>0</v>
      </c>
      <c r="F115" s="136">
        <v>38</v>
      </c>
      <c r="G115" s="137" t="str">
        <f t="shared" si="20"/>
        <v>-</v>
      </c>
      <c r="H115" s="138" t="str">
        <f>IF('Project Description'!$C$96="10 Years",-'Travel Forecasts for Evaluation'!N38,"---")</f>
        <v>---</v>
      </c>
      <c r="I115" s="167">
        <v>7.9699999999999997E-3</v>
      </c>
      <c r="J115" s="135" t="str">
        <f>IF('Project Description'!$C$96="10 Years",H115*I115,"---")</f>
        <v>---</v>
      </c>
      <c r="K115" s="136">
        <v>38</v>
      </c>
      <c r="L115" s="137" t="str">
        <f>IF($H$8="(Select…)","-",IF('Project Description'!$C$96="10 Years",J115*K115,"---"))</f>
        <v>-</v>
      </c>
      <c r="M115" s="133" t="str">
        <f>IF('Project Description'!$C$96="20 Years",-'Travel Forecasts for Evaluation'!N38,"---")</f>
        <v>---</v>
      </c>
      <c r="N115" s="167">
        <v>7.9699999999999997E-3</v>
      </c>
      <c r="O115" s="135" t="str">
        <f>IF('Project Description'!$C$96="20 Years",M115*N115,"---")</f>
        <v>---</v>
      </c>
      <c r="P115" s="140">
        <v>38</v>
      </c>
      <c r="Q115" s="141" t="str">
        <f>IF($H$8="(Select…)","-",IF('Project Description'!$C$96="20 Years",O115*P115,"---"))</f>
        <v>-</v>
      </c>
      <c r="R115" s="396"/>
    </row>
    <row r="116" spans="1:18" s="487" customFormat="1" ht="26">
      <c r="A116" s="131">
        <f t="shared" si="22"/>
        <v>61</v>
      </c>
      <c r="B116" s="132" t="s">
        <v>330</v>
      </c>
      <c r="C116" s="133">
        <f>-'Travel Forecasts for Evaluation'!M39</f>
        <v>0</v>
      </c>
      <c r="D116" s="167">
        <v>7.9699999999999997E-3</v>
      </c>
      <c r="E116" s="135">
        <f t="shared" si="21"/>
        <v>0</v>
      </c>
      <c r="F116" s="136">
        <v>38</v>
      </c>
      <c r="G116" s="137" t="str">
        <f t="shared" si="20"/>
        <v>-</v>
      </c>
      <c r="H116" s="138" t="str">
        <f>IF('Project Description'!$C$96="10 Years",-'Travel Forecasts for Evaluation'!N39,"---")</f>
        <v>---</v>
      </c>
      <c r="I116" s="167">
        <v>7.9699999999999997E-3</v>
      </c>
      <c r="J116" s="135" t="str">
        <f>IF('Project Description'!$C$96="10 Years",H116*I116,"---")</f>
        <v>---</v>
      </c>
      <c r="K116" s="136">
        <v>38</v>
      </c>
      <c r="L116" s="137" t="str">
        <f>IF($H$8="(Select…)","-",IF('Project Description'!$C$96="10 Years",J116*K116,"---"))</f>
        <v>-</v>
      </c>
      <c r="M116" s="133" t="str">
        <f>IF('Project Description'!$C$96="20 Years",-'Travel Forecasts for Evaluation'!N39,"---")</f>
        <v>---</v>
      </c>
      <c r="N116" s="167">
        <v>7.9699999999999997E-3</v>
      </c>
      <c r="O116" s="135" t="str">
        <f>IF('Project Description'!$C$96="20 Years",M116*N116,"---")</f>
        <v>---</v>
      </c>
      <c r="P116" s="140">
        <v>38</v>
      </c>
      <c r="Q116" s="141" t="str">
        <f>IF($H$8="(Select…)","-",IF('Project Description'!$C$96="20 Years",O116*P116,"---"))</f>
        <v>-</v>
      </c>
      <c r="R116" s="396"/>
    </row>
    <row r="117" spans="1:18" s="487" customFormat="1" ht="18" customHeight="1">
      <c r="A117" s="142">
        <f t="shared" si="22"/>
        <v>62</v>
      </c>
      <c r="B117" s="143" t="s">
        <v>331</v>
      </c>
      <c r="C117" s="144">
        <f>-'Travel Forecasts for Evaluation'!M40</f>
        <v>0</v>
      </c>
      <c r="D117" s="168">
        <v>5.8209999999999998E-3</v>
      </c>
      <c r="E117" s="146">
        <f t="shared" si="21"/>
        <v>0</v>
      </c>
      <c r="F117" s="147">
        <v>38</v>
      </c>
      <c r="G117" s="148" t="str">
        <f t="shared" si="20"/>
        <v>-</v>
      </c>
      <c r="H117" s="149" t="str">
        <f>IF('Project Description'!$C$96="10 Years",-'Travel Forecasts for Evaluation'!N40,"---")</f>
        <v>---</v>
      </c>
      <c r="I117" s="168">
        <v>5.6319999999999999E-3</v>
      </c>
      <c r="J117" s="146" t="str">
        <f>IF('Project Description'!$C$96="10 Years",H117*I117,"---")</f>
        <v>---</v>
      </c>
      <c r="K117" s="147">
        <v>38</v>
      </c>
      <c r="L117" s="148" t="str">
        <f>IF($H$8="(Select…)","-",IF('Project Description'!$C$96="10 Years",J117*K117,"---"))</f>
        <v>-</v>
      </c>
      <c r="M117" s="144" t="str">
        <f>IF('Project Description'!$C$96="20 Years",-'Travel Forecasts for Evaluation'!N40,"---")</f>
        <v>---</v>
      </c>
      <c r="N117" s="168">
        <v>5.5719999999999997E-3</v>
      </c>
      <c r="O117" s="146" t="str">
        <f>IF('Project Description'!$C$96="20 Years",M117*N117,"---")</f>
        <v>---</v>
      </c>
      <c r="P117" s="151">
        <v>38</v>
      </c>
      <c r="Q117" s="152" t="str">
        <f>IF($H$8="(Select…)","-",IF('Project Description'!$C$96="20 Years",O117*P117,"---"))</f>
        <v>-</v>
      </c>
      <c r="R117" s="396"/>
    </row>
    <row r="118" spans="1:18" ht="16" thickBot="1">
      <c r="A118" s="153">
        <f t="shared" si="22"/>
        <v>63</v>
      </c>
      <c r="B118" s="154" t="s">
        <v>332</v>
      </c>
      <c r="C118" s="155">
        <f>SUM(C108:C117)</f>
        <v>0</v>
      </c>
      <c r="D118" s="156" t="s">
        <v>112</v>
      </c>
      <c r="E118" s="157">
        <f>SUM(E108:E117)</f>
        <v>0</v>
      </c>
      <c r="F118" s="158" t="s">
        <v>112</v>
      </c>
      <c r="G118" s="159">
        <f>SUM(G108:G117)</f>
        <v>0</v>
      </c>
      <c r="H118" s="160" t="str">
        <f>IF('Project Description'!$C$96="10 Years",SUM(H108:H117),"---")</f>
        <v>---</v>
      </c>
      <c r="I118" s="161" t="s">
        <v>112</v>
      </c>
      <c r="J118" s="157" t="str">
        <f>IF('Project Description'!$C$96="10 Years",SUM(J108:J117),"---")</f>
        <v>---</v>
      </c>
      <c r="K118" s="162" t="s">
        <v>112</v>
      </c>
      <c r="L118" s="159" t="str">
        <f>IF('Project Description'!$C$96="10 Years",SUM(L108:L117),"---")</f>
        <v>---</v>
      </c>
      <c r="M118" s="155" t="str">
        <f>IF('Project Description'!$C$96="20 Years",SUM(M108:M117),"---")</f>
        <v>---</v>
      </c>
      <c r="N118" s="161" t="s">
        <v>112</v>
      </c>
      <c r="O118" s="157" t="str">
        <f>IF('Project Description'!$C$96="20 Years",SUM(O108:O117),"---")</f>
        <v>---</v>
      </c>
      <c r="P118" s="162" t="s">
        <v>112</v>
      </c>
      <c r="Q118" s="159" t="str">
        <f>IF('Project Description'!$C$96="20 Years",SUM(Q108:Q117),"---")</f>
        <v>---</v>
      </c>
    </row>
    <row r="119" spans="1:18" s="233" customFormat="1" ht="13">
      <c r="C119" s="234"/>
      <c r="D119" s="234"/>
      <c r="E119" s="235"/>
      <c r="F119" s="235"/>
      <c r="G119" s="235"/>
      <c r="H119" s="235"/>
    </row>
    <row r="120" spans="1:18" s="100" customFormat="1" ht="16" thickBot="1">
      <c r="C120" s="231"/>
      <c r="D120" s="231"/>
      <c r="E120" s="232"/>
      <c r="F120" s="232"/>
      <c r="G120" s="232"/>
      <c r="H120" s="232"/>
    </row>
    <row r="121" spans="1:18" ht="19.5" customHeight="1" thickBot="1">
      <c r="A121" s="1025" t="s">
        <v>342</v>
      </c>
      <c r="B121" s="1026"/>
      <c r="C121" s="1026"/>
      <c r="D121" s="1026"/>
      <c r="E121" s="1026"/>
      <c r="F121" s="1026"/>
      <c r="G121" s="1026"/>
      <c r="H121" s="1026"/>
      <c r="I121" s="1026"/>
      <c r="J121" s="1026"/>
      <c r="K121" s="1026"/>
      <c r="L121" s="1026"/>
      <c r="M121" s="1026"/>
      <c r="N121" s="1026"/>
      <c r="O121" s="1026"/>
      <c r="P121" s="1026"/>
      <c r="Q121" s="1027"/>
      <c r="R121" s="236"/>
    </row>
    <row r="122" spans="1:18" s="487" customFormat="1" ht="15.5">
      <c r="A122" s="1028" t="s">
        <v>83</v>
      </c>
      <c r="B122" s="1030" t="s">
        <v>315</v>
      </c>
      <c r="C122" s="1032" t="s">
        <v>33</v>
      </c>
      <c r="D122" s="1033"/>
      <c r="E122" s="1033"/>
      <c r="F122" s="1033"/>
      <c r="G122" s="1034"/>
      <c r="H122" s="1033" t="s">
        <v>316</v>
      </c>
      <c r="I122" s="1033"/>
      <c r="J122" s="1033"/>
      <c r="K122" s="1033"/>
      <c r="L122" s="1033"/>
      <c r="M122" s="1032" t="s">
        <v>317</v>
      </c>
      <c r="N122" s="1033"/>
      <c r="O122" s="1033"/>
      <c r="P122" s="1033"/>
      <c r="Q122" s="1034"/>
      <c r="R122" s="396"/>
    </row>
    <row r="123" spans="1:18" s="487" customFormat="1" ht="72.75" customHeight="1">
      <c r="A123" s="1029"/>
      <c r="B123" s="1031"/>
      <c r="C123" s="116" t="s">
        <v>318</v>
      </c>
      <c r="D123" s="117" t="s">
        <v>343</v>
      </c>
      <c r="E123" s="117" t="s">
        <v>344</v>
      </c>
      <c r="F123" s="118" t="s">
        <v>345</v>
      </c>
      <c r="G123" s="119" t="s">
        <v>322</v>
      </c>
      <c r="H123" s="120" t="s">
        <v>318</v>
      </c>
      <c r="I123" s="117" t="s">
        <v>343</v>
      </c>
      <c r="J123" s="117" t="s">
        <v>344</v>
      </c>
      <c r="K123" s="118" t="s">
        <v>345</v>
      </c>
      <c r="L123" s="119" t="s">
        <v>322</v>
      </c>
      <c r="M123" s="116" t="s">
        <v>318</v>
      </c>
      <c r="N123" s="117" t="s">
        <v>343</v>
      </c>
      <c r="O123" s="117" t="s">
        <v>344</v>
      </c>
      <c r="P123" s="118" t="s">
        <v>345</v>
      </c>
      <c r="Q123" s="119" t="s">
        <v>322</v>
      </c>
      <c r="R123" s="396"/>
    </row>
    <row r="124" spans="1:18" s="487" customFormat="1" ht="18" customHeight="1">
      <c r="A124" s="121">
        <f>A118+1</f>
        <v>64</v>
      </c>
      <c r="B124" s="122" t="s">
        <v>126</v>
      </c>
      <c r="C124" s="123">
        <f>IF('Project Description'!$C$92="Yes",H25,-'Travel Forecasts for Evaluation'!M31)</f>
        <v>0</v>
      </c>
      <c r="D124" s="166">
        <v>7.5589999999999997E-3</v>
      </c>
      <c r="E124" s="125">
        <f>C124*D124</f>
        <v>0</v>
      </c>
      <c r="F124" s="126">
        <v>1.72</v>
      </c>
      <c r="G124" s="127" t="str">
        <f t="shared" ref="G124:G132" si="23">IF($H$8="(Select…)","-",E124*F124)</f>
        <v>-</v>
      </c>
      <c r="H124" s="128" t="str">
        <f>IF('Project Description'!$C$96="10 Years",-'Travel Forecasts for Evaluation'!N31,"---")</f>
        <v>---</v>
      </c>
      <c r="I124" s="166">
        <v>6.1669999999999997E-3</v>
      </c>
      <c r="J124" s="125" t="str">
        <f>IF('Project Description'!$C$96="10 Years",H124*I124,"---")</f>
        <v>---</v>
      </c>
      <c r="K124" s="126">
        <v>1.72</v>
      </c>
      <c r="L124" s="127" t="str">
        <f>IF($H$8="(Select…)","-",IF('Project Description'!$C$96="10 Years",J124*K124,"---"))</f>
        <v>-</v>
      </c>
      <c r="M124" s="123" t="str">
        <f>IF('Project Description'!$C$96="20 Years",-'Travel Forecasts for Evaluation'!N31,"---")</f>
        <v>---</v>
      </c>
      <c r="N124" s="166">
        <v>5.633E-3</v>
      </c>
      <c r="O124" s="125" t="str">
        <f>IF('Project Description'!$C$96="20 Years",M124*N124,"---")</f>
        <v>---</v>
      </c>
      <c r="P124" s="126">
        <v>1.72</v>
      </c>
      <c r="Q124" s="127" t="str">
        <f>IF($H$8="(Select…)","-",IF('Project Description'!$C$96="20 Years",O124*P124,"---"))</f>
        <v>-</v>
      </c>
      <c r="R124" s="396"/>
    </row>
    <row r="125" spans="1:18" s="487" customFormat="1" ht="18" customHeight="1">
      <c r="A125" s="131">
        <f>A124+1</f>
        <v>65</v>
      </c>
      <c r="B125" s="132" t="s">
        <v>323</v>
      </c>
      <c r="C125" s="133">
        <f>-'Travel Forecasts for Evaluation'!M32</f>
        <v>0</v>
      </c>
      <c r="D125" s="167">
        <v>4.1436000000000001E-2</v>
      </c>
      <c r="E125" s="135">
        <f t="shared" ref="E125:E132" si="24">C125*D125</f>
        <v>0</v>
      </c>
      <c r="F125" s="136">
        <v>1.56</v>
      </c>
      <c r="G125" s="137" t="str">
        <f t="shared" si="23"/>
        <v>-</v>
      </c>
      <c r="H125" s="138" t="str">
        <f>IF('Project Description'!$C$96="10 Years",-'Travel Forecasts for Evaluation'!N32,"---")</f>
        <v>---</v>
      </c>
      <c r="I125" s="167">
        <v>3.5635E-2</v>
      </c>
      <c r="J125" s="135" t="str">
        <f>IF('Project Description'!$C$96="10 Years",H125*I125,"---")</f>
        <v>---</v>
      </c>
      <c r="K125" s="136">
        <v>1.56</v>
      </c>
      <c r="L125" s="137" t="str">
        <f>IF($H$8="(Select…)","-",IF('Project Description'!$C$96="10 Years",J125*K125,"---"))</f>
        <v>-</v>
      </c>
      <c r="M125" s="133" t="str">
        <f>IF('Project Description'!$C$96="20 Years",-'Travel Forecasts for Evaluation'!N32,"---")</f>
        <v>---</v>
      </c>
      <c r="N125" s="167">
        <v>3.3978000000000001E-2</v>
      </c>
      <c r="O125" s="135" t="str">
        <f>IF('Project Description'!$C$96="20 Years",M125*N125,"---")</f>
        <v>---</v>
      </c>
      <c r="P125" s="140">
        <v>1.56</v>
      </c>
      <c r="Q125" s="141" t="str">
        <f>IF($H$8="(Select…)","-",IF('Project Description'!$C$96="20 Years",O125*P125,"---"))</f>
        <v>-</v>
      </c>
      <c r="R125" s="396"/>
    </row>
    <row r="126" spans="1:18" s="487" customFormat="1" ht="18" customHeight="1">
      <c r="A126" s="131">
        <f t="shared" ref="A126:A134" si="25">A125+1</f>
        <v>66</v>
      </c>
      <c r="B126" s="132" t="s">
        <v>324</v>
      </c>
      <c r="C126" s="133">
        <f>-'Travel Forecasts for Evaluation'!M33</f>
        <v>0</v>
      </c>
      <c r="D126" s="167">
        <v>3.3148999999999998E-2</v>
      </c>
      <c r="E126" s="135">
        <f t="shared" si="24"/>
        <v>0</v>
      </c>
      <c r="F126" s="136">
        <v>1.56</v>
      </c>
      <c r="G126" s="137" t="str">
        <f t="shared" si="23"/>
        <v>-</v>
      </c>
      <c r="H126" s="138" t="str">
        <f>IF('Project Description'!$C$96="10 Years",-'Travel Forecasts for Evaluation'!N33,"---")</f>
        <v>---</v>
      </c>
      <c r="I126" s="167">
        <v>2.8507999999999999E-2</v>
      </c>
      <c r="J126" s="135" t="str">
        <f>IF('Project Description'!$C$96="10 Years",H126*I126,"---")</f>
        <v>---</v>
      </c>
      <c r="K126" s="136">
        <v>1.56</v>
      </c>
      <c r="L126" s="137" t="str">
        <f>IF($H$8="(Select…)","-",IF('Project Description'!$C$96="10 Years",J126*K126,"---"))</f>
        <v>-</v>
      </c>
      <c r="M126" s="133" t="str">
        <f>IF('Project Description'!$C$96="20 Years",-'Travel Forecasts for Evaluation'!N33,"---")</f>
        <v>---</v>
      </c>
      <c r="N126" s="167">
        <v>2.7182000000000001E-2</v>
      </c>
      <c r="O126" s="135" t="str">
        <f>IF('Project Description'!$C$96="20 Years",M126*N126,"---")</f>
        <v>---</v>
      </c>
      <c r="P126" s="140">
        <v>1.56</v>
      </c>
      <c r="Q126" s="141" t="str">
        <f>IF($H$8="(Select…)","-",IF('Project Description'!$C$96="20 Years",O126*P126,"---"))</f>
        <v>-</v>
      </c>
      <c r="R126" s="396"/>
    </row>
    <row r="127" spans="1:18" s="487" customFormat="1" ht="18" customHeight="1">
      <c r="A127" s="131">
        <f t="shared" si="25"/>
        <v>67</v>
      </c>
      <c r="B127" s="132" t="s">
        <v>325</v>
      </c>
      <c r="C127" s="196" t="s">
        <v>112</v>
      </c>
      <c r="D127" s="197" t="s">
        <v>112</v>
      </c>
      <c r="E127" s="198" t="s">
        <v>112</v>
      </c>
      <c r="F127" s="199" t="s">
        <v>112</v>
      </c>
      <c r="G127" s="200" t="s">
        <v>112</v>
      </c>
      <c r="H127" s="201" t="s">
        <v>112</v>
      </c>
      <c r="I127" s="197" t="s">
        <v>112</v>
      </c>
      <c r="J127" s="198" t="s">
        <v>112</v>
      </c>
      <c r="K127" s="199" t="s">
        <v>112</v>
      </c>
      <c r="L127" s="200" t="s">
        <v>112</v>
      </c>
      <c r="M127" s="201" t="s">
        <v>112</v>
      </c>
      <c r="N127" s="197" t="s">
        <v>112</v>
      </c>
      <c r="O127" s="198" t="s">
        <v>112</v>
      </c>
      <c r="P127" s="199" t="s">
        <v>112</v>
      </c>
      <c r="Q127" s="202" t="s">
        <v>112</v>
      </c>
      <c r="R127" s="396"/>
    </row>
    <row r="128" spans="1:18" s="487" customFormat="1" ht="18" customHeight="1">
      <c r="A128" s="131">
        <f t="shared" si="25"/>
        <v>68</v>
      </c>
      <c r="B128" s="132" t="s">
        <v>326</v>
      </c>
      <c r="C128" s="203" t="s">
        <v>112</v>
      </c>
      <c r="D128" s="204" t="s">
        <v>112</v>
      </c>
      <c r="E128" s="205" t="s">
        <v>112</v>
      </c>
      <c r="F128" s="206" t="s">
        <v>112</v>
      </c>
      <c r="G128" s="207" t="s">
        <v>112</v>
      </c>
      <c r="H128" s="208" t="s">
        <v>112</v>
      </c>
      <c r="I128" s="204" t="s">
        <v>112</v>
      </c>
      <c r="J128" s="205" t="s">
        <v>112</v>
      </c>
      <c r="K128" s="206" t="s">
        <v>112</v>
      </c>
      <c r="L128" s="207" t="s">
        <v>112</v>
      </c>
      <c r="M128" s="208" t="s">
        <v>112</v>
      </c>
      <c r="N128" s="204" t="s">
        <v>112</v>
      </c>
      <c r="O128" s="205" t="s">
        <v>112</v>
      </c>
      <c r="P128" s="206" t="s">
        <v>112</v>
      </c>
      <c r="Q128" s="209" t="s">
        <v>112</v>
      </c>
      <c r="R128" s="396"/>
    </row>
    <row r="129" spans="1:18" s="487" customFormat="1" ht="18" customHeight="1">
      <c r="A129" s="131">
        <f t="shared" si="25"/>
        <v>69</v>
      </c>
      <c r="B129" s="132" t="s">
        <v>327</v>
      </c>
      <c r="C129" s="203" t="s">
        <v>112</v>
      </c>
      <c r="D129" s="204" t="s">
        <v>112</v>
      </c>
      <c r="E129" s="205" t="s">
        <v>112</v>
      </c>
      <c r="F129" s="206" t="s">
        <v>112</v>
      </c>
      <c r="G129" s="207" t="s">
        <v>112</v>
      </c>
      <c r="H129" s="208" t="s">
        <v>112</v>
      </c>
      <c r="I129" s="204" t="s">
        <v>112</v>
      </c>
      <c r="J129" s="205" t="s">
        <v>112</v>
      </c>
      <c r="K129" s="206" t="s">
        <v>112</v>
      </c>
      <c r="L129" s="207" t="s">
        <v>112</v>
      </c>
      <c r="M129" s="208" t="s">
        <v>112</v>
      </c>
      <c r="N129" s="204" t="s">
        <v>112</v>
      </c>
      <c r="O129" s="205" t="s">
        <v>112</v>
      </c>
      <c r="P129" s="206" t="s">
        <v>112</v>
      </c>
      <c r="Q129" s="209" t="s">
        <v>112</v>
      </c>
      <c r="R129" s="396"/>
    </row>
    <row r="130" spans="1:18" s="487" customFormat="1" ht="18" customHeight="1">
      <c r="A130" s="131">
        <f t="shared" si="25"/>
        <v>70</v>
      </c>
      <c r="B130" s="132" t="s">
        <v>328</v>
      </c>
      <c r="C130" s="210" t="s">
        <v>112</v>
      </c>
      <c r="D130" s="211" t="s">
        <v>112</v>
      </c>
      <c r="E130" s="212" t="s">
        <v>112</v>
      </c>
      <c r="F130" s="213" t="s">
        <v>112</v>
      </c>
      <c r="G130" s="214" t="s">
        <v>112</v>
      </c>
      <c r="H130" s="215" t="s">
        <v>112</v>
      </c>
      <c r="I130" s="211" t="s">
        <v>112</v>
      </c>
      <c r="J130" s="212" t="s">
        <v>112</v>
      </c>
      <c r="K130" s="213" t="s">
        <v>112</v>
      </c>
      <c r="L130" s="214" t="s">
        <v>112</v>
      </c>
      <c r="M130" s="215" t="s">
        <v>112</v>
      </c>
      <c r="N130" s="211" t="s">
        <v>112</v>
      </c>
      <c r="O130" s="212" t="s">
        <v>112</v>
      </c>
      <c r="P130" s="213" t="s">
        <v>112</v>
      </c>
      <c r="Q130" s="216" t="s">
        <v>112</v>
      </c>
      <c r="R130" s="396"/>
    </row>
    <row r="131" spans="1:18" s="487" customFormat="1" ht="26">
      <c r="A131" s="131">
        <f t="shared" si="25"/>
        <v>71</v>
      </c>
      <c r="B131" s="132" t="s">
        <v>329</v>
      </c>
      <c r="C131" s="133">
        <f>-'Travel Forecasts for Evaluation'!M38</f>
        <v>0</v>
      </c>
      <c r="D131" s="167">
        <v>9.6138000000000001E-2</v>
      </c>
      <c r="E131" s="135">
        <f t="shared" si="24"/>
        <v>0</v>
      </c>
      <c r="F131" s="136">
        <v>1.56</v>
      </c>
      <c r="G131" s="137" t="str">
        <f t="shared" si="23"/>
        <v>-</v>
      </c>
      <c r="H131" s="138" t="str">
        <f>IF('Project Description'!$C$96="10 Years",-'Travel Forecasts for Evaluation'!N38,"---")</f>
        <v>---</v>
      </c>
      <c r="I131" s="167">
        <v>9.6138000000000001E-2</v>
      </c>
      <c r="J131" s="135" t="str">
        <f>IF('Project Description'!$C$96="10 Years",H131*I131,"---")</f>
        <v>---</v>
      </c>
      <c r="K131" s="136">
        <v>1.56</v>
      </c>
      <c r="L131" s="137" t="str">
        <f>IF($H$8="(Select…)","-",IF('Project Description'!$C$96="10 Years",J131*K131,"---"))</f>
        <v>-</v>
      </c>
      <c r="M131" s="133" t="str">
        <f>IF('Project Description'!$C$96="20 Years",-'Travel Forecasts for Evaluation'!N38,"---")</f>
        <v>---</v>
      </c>
      <c r="N131" s="167">
        <v>9.6138000000000001E-2</v>
      </c>
      <c r="O131" s="135" t="str">
        <f>IF('Project Description'!$C$96="20 Years",M131*N131,"---")</f>
        <v>---</v>
      </c>
      <c r="P131" s="140">
        <v>1.56</v>
      </c>
      <c r="Q131" s="141" t="str">
        <f>IF($H$8="(Select…)","-",IF('Project Description'!$C$96="20 Years",O131*P131,"---"))</f>
        <v>-</v>
      </c>
      <c r="R131" s="396"/>
    </row>
    <row r="132" spans="1:18" s="487" customFormat="1" ht="26">
      <c r="A132" s="131">
        <f t="shared" si="25"/>
        <v>72</v>
      </c>
      <c r="B132" s="132" t="s">
        <v>330</v>
      </c>
      <c r="C132" s="133">
        <f>-'Travel Forecasts for Evaluation'!M39</f>
        <v>0</v>
      </c>
      <c r="D132" s="167">
        <v>9.6138000000000001E-2</v>
      </c>
      <c r="E132" s="135">
        <f t="shared" si="24"/>
        <v>0</v>
      </c>
      <c r="F132" s="136">
        <v>1.56</v>
      </c>
      <c r="G132" s="137" t="str">
        <f t="shared" si="23"/>
        <v>-</v>
      </c>
      <c r="H132" s="138" t="str">
        <f>IF('Project Description'!$C$96="10 Years",-'Travel Forecasts for Evaluation'!N39,"---")</f>
        <v>---</v>
      </c>
      <c r="I132" s="167">
        <v>9.6138000000000001E-2</v>
      </c>
      <c r="J132" s="135" t="str">
        <f>IF('Project Description'!$C$96="10 Years",H132*I132,"---")</f>
        <v>---</v>
      </c>
      <c r="K132" s="136">
        <v>1.56</v>
      </c>
      <c r="L132" s="137" t="str">
        <f>IF($H$8="(Select…)","-",IF('Project Description'!$C$96="10 Years",J132*K132,"---"))</f>
        <v>-</v>
      </c>
      <c r="M132" s="133" t="str">
        <f>IF('Project Description'!$C$96="20 Years",-'Travel Forecasts for Evaluation'!N39,"---")</f>
        <v>---</v>
      </c>
      <c r="N132" s="167">
        <v>9.6138000000000001E-2</v>
      </c>
      <c r="O132" s="135" t="str">
        <f>IF('Project Description'!$C$96="20 Years",M132*N132,"---")</f>
        <v>---</v>
      </c>
      <c r="P132" s="140">
        <v>1.56</v>
      </c>
      <c r="Q132" s="141" t="str">
        <f>IF($H$8="(Select…)","-",IF('Project Description'!$C$96="20 Years",O132*P132,"---"))</f>
        <v>-</v>
      </c>
      <c r="R132" s="396"/>
    </row>
    <row r="133" spans="1:18" s="487" customFormat="1" ht="18" customHeight="1">
      <c r="A133" s="142">
        <f t="shared" si="25"/>
        <v>73</v>
      </c>
      <c r="B133" s="143" t="s">
        <v>331</v>
      </c>
      <c r="C133" s="217" t="s">
        <v>112</v>
      </c>
      <c r="D133" s="218" t="s">
        <v>112</v>
      </c>
      <c r="E133" s="219" t="s">
        <v>112</v>
      </c>
      <c r="F133" s="220" t="s">
        <v>112</v>
      </c>
      <c r="G133" s="221" t="s">
        <v>112</v>
      </c>
      <c r="H133" s="222" t="s">
        <v>112</v>
      </c>
      <c r="I133" s="218" t="s">
        <v>112</v>
      </c>
      <c r="J133" s="219" t="s">
        <v>112</v>
      </c>
      <c r="K133" s="220" t="s">
        <v>112</v>
      </c>
      <c r="L133" s="221" t="s">
        <v>112</v>
      </c>
      <c r="M133" s="222" t="s">
        <v>112</v>
      </c>
      <c r="N133" s="218" t="s">
        <v>112</v>
      </c>
      <c r="O133" s="219" t="s">
        <v>112</v>
      </c>
      <c r="P133" s="220" t="s">
        <v>112</v>
      </c>
      <c r="Q133" s="223" t="s">
        <v>112</v>
      </c>
      <c r="R133" s="396"/>
    </row>
    <row r="134" spans="1:18" ht="16" thickBot="1">
      <c r="A134" s="153">
        <f t="shared" si="25"/>
        <v>74</v>
      </c>
      <c r="B134" s="154" t="s">
        <v>332</v>
      </c>
      <c r="C134" s="155">
        <f>SUM(C124:C133)</f>
        <v>0</v>
      </c>
      <c r="D134" s="156" t="s">
        <v>112</v>
      </c>
      <c r="E134" s="157">
        <f>SUM(E124:E133)</f>
        <v>0</v>
      </c>
      <c r="F134" s="158" t="s">
        <v>112</v>
      </c>
      <c r="G134" s="159">
        <f>SUM(G124:G133)</f>
        <v>0</v>
      </c>
      <c r="H134" s="160" t="str">
        <f>IF('Project Description'!$C$96="10 Years",SUM(H124:H133),"---")</f>
        <v>---</v>
      </c>
      <c r="I134" s="161" t="s">
        <v>112</v>
      </c>
      <c r="J134" s="157" t="str">
        <f>IF('Project Description'!$C$96="10 Years",SUM(J124:J133),"---")</f>
        <v>---</v>
      </c>
      <c r="K134" s="162" t="s">
        <v>112</v>
      </c>
      <c r="L134" s="159" t="str">
        <f>IF('Project Description'!$C$96="10 Years",SUM(L124:L133),"---")</f>
        <v>---</v>
      </c>
      <c r="M134" s="155" t="str">
        <f>IF('Project Description'!$C$96="20 Years",SUM(M124:M133),"---")</f>
        <v>---</v>
      </c>
      <c r="N134" s="161" t="s">
        <v>112</v>
      </c>
      <c r="O134" s="157" t="str">
        <f>IF('Project Description'!$C$96="20 Years",SUM(O124:O133),"---")</f>
        <v>---</v>
      </c>
      <c r="P134" s="162" t="s">
        <v>112</v>
      </c>
      <c r="Q134" s="159" t="str">
        <f>IF('Project Description'!$C$96="20 Years",SUM(Q124:Q133),"---")</f>
        <v>---</v>
      </c>
    </row>
    <row r="135" spans="1:18" ht="16" thickBot="1">
      <c r="A135" s="264"/>
      <c r="B135" s="265"/>
      <c r="C135" s="266"/>
      <c r="D135" s="267"/>
      <c r="E135" s="268"/>
      <c r="F135" s="267"/>
      <c r="G135" s="269"/>
      <c r="H135" s="266"/>
      <c r="I135" s="270"/>
      <c r="J135" s="268"/>
      <c r="K135" s="270"/>
      <c r="L135" s="269"/>
      <c r="M135" s="266"/>
      <c r="N135" s="270"/>
      <c r="O135" s="268"/>
      <c r="P135" s="270"/>
      <c r="Q135" s="269"/>
    </row>
    <row r="136" spans="1:18" ht="18.5" thickBot="1">
      <c r="A136" s="1022" t="s">
        <v>346</v>
      </c>
      <c r="B136" s="1023"/>
      <c r="C136" s="1023"/>
      <c r="D136" s="1023"/>
      <c r="E136" s="1023"/>
      <c r="F136" s="1023"/>
      <c r="G136" s="1023"/>
      <c r="H136" s="1023"/>
      <c r="I136" s="1023"/>
      <c r="J136" s="1023"/>
      <c r="K136" s="1023"/>
      <c r="L136" s="1023"/>
      <c r="M136" s="1023"/>
      <c r="N136" s="1023"/>
      <c r="O136" s="1023"/>
      <c r="P136" s="1023"/>
      <c r="Q136" s="1024"/>
    </row>
    <row r="137" spans="1:18" s="100" customFormat="1" ht="16" thickBot="1">
      <c r="C137" s="231"/>
      <c r="D137" s="231"/>
      <c r="E137" s="232"/>
      <c r="F137" s="232"/>
      <c r="G137" s="232"/>
      <c r="H137" s="232"/>
    </row>
    <row r="138" spans="1:18" ht="19.5" customHeight="1" thickBot="1">
      <c r="A138" s="1025" t="s">
        <v>347</v>
      </c>
      <c r="B138" s="1026"/>
      <c r="C138" s="1026"/>
      <c r="D138" s="1026"/>
      <c r="E138" s="1026"/>
      <c r="F138" s="1026"/>
      <c r="G138" s="1026"/>
      <c r="H138" s="1026"/>
      <c r="I138" s="1026"/>
      <c r="J138" s="1026"/>
      <c r="K138" s="1026"/>
      <c r="L138" s="1026"/>
      <c r="M138" s="1026"/>
      <c r="N138" s="1026"/>
      <c r="O138" s="1026"/>
      <c r="P138" s="1026"/>
      <c r="Q138" s="1027"/>
      <c r="R138" s="236"/>
    </row>
    <row r="139" spans="1:18" s="487" customFormat="1" ht="15.5">
      <c r="A139" s="1028" t="s">
        <v>83</v>
      </c>
      <c r="B139" s="1030" t="s">
        <v>315</v>
      </c>
      <c r="C139" s="1032" t="s">
        <v>33</v>
      </c>
      <c r="D139" s="1033"/>
      <c r="E139" s="1033"/>
      <c r="F139" s="1033"/>
      <c r="G139" s="1034"/>
      <c r="H139" s="1033" t="s">
        <v>316</v>
      </c>
      <c r="I139" s="1033"/>
      <c r="J139" s="1033"/>
      <c r="K139" s="1033"/>
      <c r="L139" s="1033"/>
      <c r="M139" s="1032" t="s">
        <v>317</v>
      </c>
      <c r="N139" s="1033"/>
      <c r="O139" s="1033"/>
      <c r="P139" s="1033"/>
      <c r="Q139" s="1034"/>
      <c r="R139" s="396"/>
    </row>
    <row r="140" spans="1:18" s="487" customFormat="1" ht="57.75" customHeight="1">
      <c r="A140" s="1029"/>
      <c r="B140" s="1031"/>
      <c r="C140" s="116" t="s">
        <v>318</v>
      </c>
      <c r="D140" s="117" t="s">
        <v>348</v>
      </c>
      <c r="E140" s="117" t="s">
        <v>349</v>
      </c>
      <c r="F140" s="118" t="s">
        <v>350</v>
      </c>
      <c r="G140" s="119" t="s">
        <v>322</v>
      </c>
      <c r="H140" s="120" t="s">
        <v>318</v>
      </c>
      <c r="I140" s="117" t="s">
        <v>348</v>
      </c>
      <c r="J140" s="117" t="s">
        <v>349</v>
      </c>
      <c r="K140" s="118" t="s">
        <v>350</v>
      </c>
      <c r="L140" s="119" t="s">
        <v>322</v>
      </c>
      <c r="M140" s="116" t="s">
        <v>318</v>
      </c>
      <c r="N140" s="117" t="s">
        <v>348</v>
      </c>
      <c r="O140" s="117" t="s">
        <v>349</v>
      </c>
      <c r="P140" s="118" t="s">
        <v>350</v>
      </c>
      <c r="Q140" s="119" t="s">
        <v>322</v>
      </c>
      <c r="R140" s="396"/>
    </row>
    <row r="141" spans="1:18" s="487" customFormat="1" ht="18" customHeight="1">
      <c r="A141" s="121">
        <f>A134+1</f>
        <v>75</v>
      </c>
      <c r="B141" s="122" t="s">
        <v>126</v>
      </c>
      <c r="C141" s="123">
        <f>IF('Project Description'!$C$92="Yes",H25,-'Travel Forecasts for Evaluation'!M31)</f>
        <v>0</v>
      </c>
      <c r="D141" s="169">
        <v>1.2999999999999999E-8</v>
      </c>
      <c r="E141" s="125">
        <f>C141*D141</f>
        <v>0</v>
      </c>
      <c r="F141" s="170">
        <v>9100000</v>
      </c>
      <c r="G141" s="127" t="str">
        <f t="shared" ref="G141:G150" si="26">IF($H$8="(Select…)","-",E141*F141)</f>
        <v>-</v>
      </c>
      <c r="H141" s="128" t="str">
        <f>IF('Project Description'!$C$96="10 Years",-'Travel Forecasts for Evaluation'!N31,"---")</f>
        <v>---</v>
      </c>
      <c r="I141" s="169">
        <v>1.2999999999999999E-8</v>
      </c>
      <c r="J141" s="125" t="str">
        <f>IF('Project Description'!$C$96="10 Years",H141*I141,"---")</f>
        <v>---</v>
      </c>
      <c r="K141" s="170">
        <v>9100000</v>
      </c>
      <c r="L141" s="127" t="str">
        <f>IF($H$8="(Select…)","-",IF('Project Description'!$C$96="10 Years",J141*K141,"---"))</f>
        <v>-</v>
      </c>
      <c r="M141" s="123" t="str">
        <f>IF('Project Description'!$C$96="20 Years",-'Travel Forecasts for Evaluation'!N31,"---")</f>
        <v>---</v>
      </c>
      <c r="N141" s="169">
        <v>1.2999999999999999E-8</v>
      </c>
      <c r="O141" s="125" t="str">
        <f>IF('Project Description'!$C$96="20 Years",M141*N141,"---")</f>
        <v>---</v>
      </c>
      <c r="P141" s="170">
        <v>9100000</v>
      </c>
      <c r="Q141" s="127" t="str">
        <f>IF($H$8="(Select…)","-",IF('Project Description'!$C$96="20 Years",O141*P141,"---"))</f>
        <v>-</v>
      </c>
      <c r="R141" s="396"/>
    </row>
    <row r="142" spans="1:18" s="487" customFormat="1" ht="18" customHeight="1">
      <c r="A142" s="131">
        <f>A141+1</f>
        <v>76</v>
      </c>
      <c r="B142" s="132" t="s">
        <v>323</v>
      </c>
      <c r="C142" s="133">
        <f>-'Travel Forecasts for Evaluation'!M32</f>
        <v>0</v>
      </c>
      <c r="D142" s="171">
        <v>4.0000000000000002E-9</v>
      </c>
      <c r="E142" s="135">
        <f t="shared" ref="E142:E150" si="27">C142*D142</f>
        <v>0</v>
      </c>
      <c r="F142" s="172">
        <v>9100000</v>
      </c>
      <c r="G142" s="137" t="str">
        <f t="shared" si="26"/>
        <v>-</v>
      </c>
      <c r="H142" s="138" t="str">
        <f>IF('Project Description'!$C$96="10 Years",-'Travel Forecasts for Evaluation'!N32,"---")</f>
        <v>---</v>
      </c>
      <c r="I142" s="171">
        <v>4.0000000000000002E-9</v>
      </c>
      <c r="J142" s="135" t="str">
        <f>IF('Project Description'!$C$96="10 Years",H142*I142,"---")</f>
        <v>---</v>
      </c>
      <c r="K142" s="172">
        <v>9100000</v>
      </c>
      <c r="L142" s="137" t="str">
        <f>IF($H$8="(Select…)","-",IF('Project Description'!$C$96="10 Years",J142*K142,"---"))</f>
        <v>-</v>
      </c>
      <c r="M142" s="133" t="str">
        <f>IF('Project Description'!$C$96="20 Years",-'Travel Forecasts for Evaluation'!N32,"---")</f>
        <v>---</v>
      </c>
      <c r="N142" s="171">
        <v>4.0000000000000002E-9</v>
      </c>
      <c r="O142" s="135" t="str">
        <f>IF('Project Description'!$C$96="20 Years",M142*N142,"---")</f>
        <v>---</v>
      </c>
      <c r="P142" s="172">
        <v>9100000</v>
      </c>
      <c r="Q142" s="141" t="str">
        <f>IF($H$8="(Select…)","-",IF('Project Description'!$C$96="20 Years",O142*P142,"---"))</f>
        <v>-</v>
      </c>
      <c r="R142" s="396"/>
    </row>
    <row r="143" spans="1:18" s="487" customFormat="1" ht="18" customHeight="1">
      <c r="A143" s="131">
        <f t="shared" ref="A143:A151" si="28">A142+1</f>
        <v>77</v>
      </c>
      <c r="B143" s="132" t="s">
        <v>324</v>
      </c>
      <c r="C143" s="133">
        <f>-'Travel Forecasts for Evaluation'!M33</f>
        <v>0</v>
      </c>
      <c r="D143" s="171">
        <v>4.0000000000000002E-9</v>
      </c>
      <c r="E143" s="135">
        <f t="shared" si="27"/>
        <v>0</v>
      </c>
      <c r="F143" s="172">
        <v>9100000</v>
      </c>
      <c r="G143" s="137" t="str">
        <f t="shared" si="26"/>
        <v>-</v>
      </c>
      <c r="H143" s="138" t="str">
        <f>IF('Project Description'!$C$96="10 Years",-'Travel Forecasts for Evaluation'!N33,"---")</f>
        <v>---</v>
      </c>
      <c r="I143" s="171">
        <v>4.0000000000000002E-9</v>
      </c>
      <c r="J143" s="135" t="str">
        <f>IF('Project Description'!$C$96="10 Years",H143*I143,"---")</f>
        <v>---</v>
      </c>
      <c r="K143" s="172">
        <v>9100000</v>
      </c>
      <c r="L143" s="137" t="str">
        <f>IF($H$8="(Select…)","-",IF('Project Description'!$C$96="10 Years",J143*K143,"---"))</f>
        <v>-</v>
      </c>
      <c r="M143" s="133" t="str">
        <f>IF('Project Description'!$C$96="20 Years",-'Travel Forecasts for Evaluation'!N33,"---")</f>
        <v>---</v>
      </c>
      <c r="N143" s="171">
        <v>4.0000000000000002E-9</v>
      </c>
      <c r="O143" s="135" t="str">
        <f>IF('Project Description'!$C$96="20 Years",M143*N143,"---")</f>
        <v>---</v>
      </c>
      <c r="P143" s="172">
        <v>9100000</v>
      </c>
      <c r="Q143" s="141" t="str">
        <f>IF($H$8="(Select…)","-",IF('Project Description'!$C$96="20 Years",O143*P143,"---"))</f>
        <v>-</v>
      </c>
      <c r="R143" s="396"/>
    </row>
    <row r="144" spans="1:18" s="487" customFormat="1" ht="18" customHeight="1">
      <c r="A144" s="131">
        <f t="shared" si="28"/>
        <v>78</v>
      </c>
      <c r="B144" s="132" t="s">
        <v>325</v>
      </c>
      <c r="C144" s="133">
        <f>-'Travel Forecasts for Evaluation'!M34</f>
        <v>0</v>
      </c>
      <c r="D144" s="171">
        <v>4.0000000000000002E-9</v>
      </c>
      <c r="E144" s="135">
        <f t="shared" si="27"/>
        <v>0</v>
      </c>
      <c r="F144" s="172">
        <v>9100000</v>
      </c>
      <c r="G144" s="137" t="str">
        <f t="shared" si="26"/>
        <v>-</v>
      </c>
      <c r="H144" s="138" t="str">
        <f>IF('Project Description'!$C$96="10 Years",-'Travel Forecasts for Evaluation'!N34,"---")</f>
        <v>---</v>
      </c>
      <c r="I144" s="171">
        <v>4.0000000000000002E-9</v>
      </c>
      <c r="J144" s="135" t="str">
        <f>IF('Project Description'!$C$96="10 Years",H144*I144,"---")</f>
        <v>---</v>
      </c>
      <c r="K144" s="172">
        <v>9100000</v>
      </c>
      <c r="L144" s="137" t="str">
        <f>IF($H$8="(Select…)","-",IF('Project Description'!$C$96="10 Years",J144*K144,"---"))</f>
        <v>-</v>
      </c>
      <c r="M144" s="133" t="str">
        <f>IF('Project Description'!$C$96="20 Years",-'Travel Forecasts for Evaluation'!N34,"---")</f>
        <v>---</v>
      </c>
      <c r="N144" s="171">
        <v>4.0000000000000002E-9</v>
      </c>
      <c r="O144" s="135" t="str">
        <f>IF('Project Description'!$C$96="20 Years",M144*N144,"---")</f>
        <v>---</v>
      </c>
      <c r="P144" s="172">
        <v>9100000</v>
      </c>
      <c r="Q144" s="141" t="str">
        <f>IF($H$8="(Select…)","-",IF('Project Description'!$C$96="20 Years",O144*P144,"---"))</f>
        <v>-</v>
      </c>
      <c r="R144" s="396"/>
    </row>
    <row r="145" spans="1:18" s="487" customFormat="1" ht="18" customHeight="1">
      <c r="A145" s="131">
        <f t="shared" si="28"/>
        <v>79</v>
      </c>
      <c r="B145" s="132" t="s">
        <v>326</v>
      </c>
      <c r="C145" s="133">
        <f>-'Travel Forecasts for Evaluation'!M35</f>
        <v>0</v>
      </c>
      <c r="D145" s="171">
        <v>4.0000000000000002E-9</v>
      </c>
      <c r="E145" s="135">
        <f t="shared" si="27"/>
        <v>0</v>
      </c>
      <c r="F145" s="172">
        <v>9100000</v>
      </c>
      <c r="G145" s="137" t="str">
        <f t="shared" si="26"/>
        <v>-</v>
      </c>
      <c r="H145" s="138" t="str">
        <f>IF('Project Description'!$C$96="10 Years",-'Travel Forecasts for Evaluation'!N35,"---")</f>
        <v>---</v>
      </c>
      <c r="I145" s="171">
        <v>4.0000000000000002E-9</v>
      </c>
      <c r="J145" s="135" t="str">
        <f>IF('Project Description'!$C$96="10 Years",H145*I145,"---")</f>
        <v>---</v>
      </c>
      <c r="K145" s="172">
        <v>9100000</v>
      </c>
      <c r="L145" s="137" t="str">
        <f>IF($H$8="(Select…)","-",IF('Project Description'!$C$96="10 Years",J145*K145,"---"))</f>
        <v>-</v>
      </c>
      <c r="M145" s="133" t="str">
        <f>IF('Project Description'!$C$96="20 Years",-'Travel Forecasts for Evaluation'!N35,"---")</f>
        <v>---</v>
      </c>
      <c r="N145" s="171">
        <v>4.0000000000000002E-9</v>
      </c>
      <c r="O145" s="135" t="str">
        <f>IF('Project Description'!$C$96="20 Years",M145*N145,"---")</f>
        <v>---</v>
      </c>
      <c r="P145" s="172">
        <v>9100000</v>
      </c>
      <c r="Q145" s="141" t="str">
        <f>IF($H$8="(Select…)","-",IF('Project Description'!$C$96="20 Years",O145*P145,"---"))</f>
        <v>-</v>
      </c>
      <c r="R145" s="396"/>
    </row>
    <row r="146" spans="1:18" s="487" customFormat="1" ht="18" customHeight="1">
      <c r="A146" s="131">
        <f t="shared" si="28"/>
        <v>80</v>
      </c>
      <c r="B146" s="132" t="s">
        <v>327</v>
      </c>
      <c r="C146" s="133">
        <f>-'Travel Forecasts for Evaluation'!M36</f>
        <v>0</v>
      </c>
      <c r="D146" s="171">
        <v>6.9999999999999998E-9</v>
      </c>
      <c r="E146" s="135">
        <f t="shared" si="27"/>
        <v>0</v>
      </c>
      <c r="F146" s="172">
        <v>9100000</v>
      </c>
      <c r="G146" s="137" t="str">
        <f t="shared" si="26"/>
        <v>-</v>
      </c>
      <c r="H146" s="138" t="str">
        <f>IF('Project Description'!$C$96="10 Years",-'Travel Forecasts for Evaluation'!N36,"---")</f>
        <v>---</v>
      </c>
      <c r="I146" s="171">
        <v>6.9999999999999998E-9</v>
      </c>
      <c r="J146" s="135" t="str">
        <f>IF('Project Description'!$C$96="10 Years",H146*I146,"---")</f>
        <v>---</v>
      </c>
      <c r="K146" s="172">
        <v>9100000</v>
      </c>
      <c r="L146" s="137" t="str">
        <f>IF($H$8="(Select…)","-",IF('Project Description'!$C$96="10 Years",J146*K146,"---"))</f>
        <v>-</v>
      </c>
      <c r="M146" s="133" t="str">
        <f>IF('Project Description'!$C$96="20 Years",-'Travel Forecasts for Evaluation'!N36,"---")</f>
        <v>---</v>
      </c>
      <c r="N146" s="171">
        <v>6.9999999999999998E-9</v>
      </c>
      <c r="O146" s="135" t="str">
        <f>IF('Project Description'!$C$96="20 Years",M146*N146,"---")</f>
        <v>---</v>
      </c>
      <c r="P146" s="172">
        <v>9100000</v>
      </c>
      <c r="Q146" s="141" t="str">
        <f>IF($H$8="(Select…)","-",IF('Project Description'!$C$96="20 Years",O146*P146,"---"))</f>
        <v>-</v>
      </c>
      <c r="R146" s="396"/>
    </row>
    <row r="147" spans="1:18" s="487" customFormat="1" ht="18" customHeight="1">
      <c r="A147" s="131">
        <f t="shared" si="28"/>
        <v>81</v>
      </c>
      <c r="B147" s="132" t="s">
        <v>328</v>
      </c>
      <c r="C147" s="133">
        <f>-'Travel Forecasts for Evaluation'!M37</f>
        <v>0</v>
      </c>
      <c r="D147" s="171">
        <v>8.9999999999999995E-9</v>
      </c>
      <c r="E147" s="135">
        <f t="shared" si="27"/>
        <v>0</v>
      </c>
      <c r="F147" s="172">
        <v>9100000</v>
      </c>
      <c r="G147" s="137" t="str">
        <f t="shared" si="26"/>
        <v>-</v>
      </c>
      <c r="H147" s="138" t="str">
        <f>IF('Project Description'!$C$96="10 Years",-'Travel Forecasts for Evaluation'!N37,"---")</f>
        <v>---</v>
      </c>
      <c r="I147" s="171">
        <v>8.9999999999999995E-9</v>
      </c>
      <c r="J147" s="135" t="str">
        <f>IF('Project Description'!$C$96="10 Years",H147*I147,"---")</f>
        <v>---</v>
      </c>
      <c r="K147" s="172">
        <v>9100000</v>
      </c>
      <c r="L147" s="137" t="str">
        <f>IF($H$8="(Select…)","-",IF('Project Description'!$C$96="10 Years",J147*K147,"---"))</f>
        <v>-</v>
      </c>
      <c r="M147" s="133" t="str">
        <f>IF('Project Description'!$C$96="20 Years",-'Travel Forecasts for Evaluation'!N37,"---")</f>
        <v>---</v>
      </c>
      <c r="N147" s="171">
        <v>8.9999999999999995E-9</v>
      </c>
      <c r="O147" s="135" t="str">
        <f>IF('Project Description'!$C$96="20 Years",M147*N147,"---")</f>
        <v>---</v>
      </c>
      <c r="P147" s="172">
        <v>9100000</v>
      </c>
      <c r="Q147" s="141" t="str">
        <f>IF($H$8="(Select…)","-",IF('Project Description'!$C$96="20 Years",O147*P147,"---"))</f>
        <v>-</v>
      </c>
      <c r="R147" s="396"/>
    </row>
    <row r="148" spans="1:18" s="487" customFormat="1" ht="26">
      <c r="A148" s="131">
        <f t="shared" si="28"/>
        <v>82</v>
      </c>
      <c r="B148" s="132" t="s">
        <v>329</v>
      </c>
      <c r="C148" s="133">
        <f>-'Travel Forecasts for Evaluation'!M38</f>
        <v>0</v>
      </c>
      <c r="D148" s="171">
        <v>1.2E-8</v>
      </c>
      <c r="E148" s="135">
        <f t="shared" si="27"/>
        <v>0</v>
      </c>
      <c r="F148" s="172">
        <v>9100000</v>
      </c>
      <c r="G148" s="137" t="str">
        <f t="shared" si="26"/>
        <v>-</v>
      </c>
      <c r="H148" s="138" t="str">
        <f>IF('Project Description'!$C$96="10 Years",-'Travel Forecasts for Evaluation'!N38,"---")</f>
        <v>---</v>
      </c>
      <c r="I148" s="171">
        <v>1.2E-8</v>
      </c>
      <c r="J148" s="135" t="str">
        <f>IF('Project Description'!$C$96="10 Years",H148*I148,"---")</f>
        <v>---</v>
      </c>
      <c r="K148" s="172">
        <v>9100000</v>
      </c>
      <c r="L148" s="137" t="str">
        <f>IF($H$8="(Select…)","-",IF('Project Description'!$C$96="10 Years",J148*K148,"---"))</f>
        <v>-</v>
      </c>
      <c r="M148" s="133" t="str">
        <f>IF('Project Description'!$C$96="20 Years",-'Travel Forecasts for Evaluation'!N38,"---")</f>
        <v>---</v>
      </c>
      <c r="N148" s="171">
        <v>1.2E-8</v>
      </c>
      <c r="O148" s="135" t="str">
        <f>IF('Project Description'!$C$96="20 Years",M148*N148,"---")</f>
        <v>---</v>
      </c>
      <c r="P148" s="172">
        <v>9100000</v>
      </c>
      <c r="Q148" s="141" t="str">
        <f>IF($H$8="(Select…)","-",IF('Project Description'!$C$96="20 Years",O148*P148,"---"))</f>
        <v>-</v>
      </c>
      <c r="R148" s="396"/>
    </row>
    <row r="149" spans="1:18" s="487" customFormat="1" ht="26">
      <c r="A149" s="131">
        <f t="shared" si="28"/>
        <v>83</v>
      </c>
      <c r="B149" s="132" t="s">
        <v>330</v>
      </c>
      <c r="C149" s="133">
        <f>-'Travel Forecasts for Evaluation'!M39</f>
        <v>0</v>
      </c>
      <c r="D149" s="171">
        <v>1.2E-8</v>
      </c>
      <c r="E149" s="135">
        <f t="shared" si="27"/>
        <v>0</v>
      </c>
      <c r="F149" s="172">
        <v>9100000</v>
      </c>
      <c r="G149" s="137" t="str">
        <f t="shared" si="26"/>
        <v>-</v>
      </c>
      <c r="H149" s="138" t="str">
        <f>IF('Project Description'!$C$96="10 Years",-'Travel Forecasts for Evaluation'!N39,"---")</f>
        <v>---</v>
      </c>
      <c r="I149" s="171">
        <v>1.2E-8</v>
      </c>
      <c r="J149" s="135" t="str">
        <f>IF('Project Description'!$C$96="10 Years",H149*I149,"---")</f>
        <v>---</v>
      </c>
      <c r="K149" s="172">
        <v>9100000</v>
      </c>
      <c r="L149" s="137" t="str">
        <f>IF($H$8="(Select…)","-",IF('Project Description'!$C$96="10 Years",J149*K149,"---"))</f>
        <v>-</v>
      </c>
      <c r="M149" s="133" t="str">
        <f>IF('Project Description'!$C$96="20 Years",-'Travel Forecasts for Evaluation'!N39,"---")</f>
        <v>---</v>
      </c>
      <c r="N149" s="171">
        <v>1.2E-8</v>
      </c>
      <c r="O149" s="135" t="str">
        <f>IF('Project Description'!$C$96="20 Years",M149*N149,"---")</f>
        <v>---</v>
      </c>
      <c r="P149" s="172">
        <v>9100000</v>
      </c>
      <c r="Q149" s="141" t="str">
        <f>IF($H$8="(Select…)","-",IF('Project Description'!$C$96="20 Years",O149*P149,"---"))</f>
        <v>-</v>
      </c>
      <c r="R149" s="396"/>
    </row>
    <row r="150" spans="1:18" s="487" customFormat="1" ht="18" customHeight="1">
      <c r="A150" s="142">
        <f t="shared" si="28"/>
        <v>84</v>
      </c>
      <c r="B150" s="143" t="s">
        <v>331</v>
      </c>
      <c r="C150" s="144">
        <f>-'Travel Forecasts for Evaluation'!M40</f>
        <v>0</v>
      </c>
      <c r="D150" s="173">
        <v>1.2E-8</v>
      </c>
      <c r="E150" s="146">
        <f t="shared" si="27"/>
        <v>0</v>
      </c>
      <c r="F150" s="174">
        <v>9100000</v>
      </c>
      <c r="G150" s="148" t="str">
        <f t="shared" si="26"/>
        <v>-</v>
      </c>
      <c r="H150" s="149" t="str">
        <f>IF('Project Description'!$C$96="10 Years",-'Travel Forecasts for Evaluation'!N40,"---")</f>
        <v>---</v>
      </c>
      <c r="I150" s="173">
        <v>1.2E-8</v>
      </c>
      <c r="J150" s="146" t="str">
        <f>IF('Project Description'!$C$96="10 Years",H150*I150,"---")</f>
        <v>---</v>
      </c>
      <c r="K150" s="174">
        <v>9100000</v>
      </c>
      <c r="L150" s="148" t="str">
        <f>IF($H$8="(Select…)","-",IF('Project Description'!$C$96="10 Years",J150*K150,"---"))</f>
        <v>-</v>
      </c>
      <c r="M150" s="144" t="str">
        <f>IF('Project Description'!$C$96="20 Years",-'Travel Forecasts for Evaluation'!N40,"---")</f>
        <v>---</v>
      </c>
      <c r="N150" s="173">
        <v>1.2E-8</v>
      </c>
      <c r="O150" s="146" t="str">
        <f>IF('Project Description'!$C$96="20 Years",M150*N150,"---")</f>
        <v>---</v>
      </c>
      <c r="P150" s="174">
        <v>9100000</v>
      </c>
      <c r="Q150" s="152" t="str">
        <f>IF($H$8="(Select…)","-",IF('Project Description'!$C$96="20 Years",O150*P150,"---"))</f>
        <v>-</v>
      </c>
      <c r="R150" s="396"/>
    </row>
    <row r="151" spans="1:18" ht="16" thickBot="1">
      <c r="A151" s="153">
        <f t="shared" si="28"/>
        <v>85</v>
      </c>
      <c r="B151" s="154" t="s">
        <v>332</v>
      </c>
      <c r="C151" s="155">
        <f>SUM(C141:C150)</f>
        <v>0</v>
      </c>
      <c r="D151" s="156" t="s">
        <v>112</v>
      </c>
      <c r="E151" s="157">
        <f>SUM(E141:E150)</f>
        <v>0</v>
      </c>
      <c r="F151" s="158" t="s">
        <v>112</v>
      </c>
      <c r="G151" s="159">
        <f>SUM(G141:G150)</f>
        <v>0</v>
      </c>
      <c r="H151" s="160" t="str">
        <f>IF('Project Description'!$C$96="10 Years",SUM(H141:H150),"---")</f>
        <v>---</v>
      </c>
      <c r="I151" s="161" t="s">
        <v>112</v>
      </c>
      <c r="J151" s="157" t="str">
        <f>IF('Project Description'!$C$96="10 Years",SUM(J141:J150),"---")</f>
        <v>---</v>
      </c>
      <c r="K151" s="162" t="s">
        <v>112</v>
      </c>
      <c r="L151" s="159" t="str">
        <f>IF('Project Description'!$C$96="10 Years",SUM(L141:L150),"---")</f>
        <v>---</v>
      </c>
      <c r="M151" s="155" t="str">
        <f>IF('Project Description'!$C$96="20 Years",SUM(M141:M150),"---")</f>
        <v>---</v>
      </c>
      <c r="N151" s="161" t="s">
        <v>112</v>
      </c>
      <c r="O151" s="157" t="str">
        <f>IF('Project Description'!$C$96="20 Years",SUM(O141:O150),"---")</f>
        <v>---</v>
      </c>
      <c r="P151" s="162" t="s">
        <v>112</v>
      </c>
      <c r="Q151" s="159" t="str">
        <f>IF('Project Description'!$C$96="20 Years",SUM(Q141:Q150),"---")</f>
        <v>---</v>
      </c>
    </row>
    <row r="152" spans="1:18" s="233" customFormat="1" ht="13.5" thickBot="1">
      <c r="C152" s="234"/>
      <c r="D152" s="234"/>
      <c r="E152" s="235"/>
      <c r="F152" s="235"/>
      <c r="G152" s="235"/>
      <c r="H152" s="235"/>
    </row>
    <row r="153" spans="1:18" ht="19.5" customHeight="1" thickBot="1">
      <c r="A153" s="1025" t="s">
        <v>351</v>
      </c>
      <c r="B153" s="1026"/>
      <c r="C153" s="1026"/>
      <c r="D153" s="1026"/>
      <c r="E153" s="1026"/>
      <c r="F153" s="1026"/>
      <c r="G153" s="1026"/>
      <c r="H153" s="1026"/>
      <c r="I153" s="1026"/>
      <c r="J153" s="1026"/>
      <c r="K153" s="1026"/>
      <c r="L153" s="1026"/>
      <c r="M153" s="1026"/>
      <c r="N153" s="1026"/>
      <c r="O153" s="1026"/>
      <c r="P153" s="1026"/>
      <c r="Q153" s="1027"/>
      <c r="R153" s="236"/>
    </row>
    <row r="154" spans="1:18" s="487" customFormat="1" ht="15.5">
      <c r="A154" s="1028" t="s">
        <v>83</v>
      </c>
      <c r="B154" s="1030" t="s">
        <v>315</v>
      </c>
      <c r="C154" s="1032" t="s">
        <v>33</v>
      </c>
      <c r="D154" s="1033"/>
      <c r="E154" s="1033"/>
      <c r="F154" s="1033"/>
      <c r="G154" s="1034"/>
      <c r="H154" s="1033" t="s">
        <v>316</v>
      </c>
      <c r="I154" s="1033"/>
      <c r="J154" s="1033"/>
      <c r="K154" s="1033"/>
      <c r="L154" s="1033"/>
      <c r="M154" s="1032" t="s">
        <v>317</v>
      </c>
      <c r="N154" s="1033"/>
      <c r="O154" s="1033"/>
      <c r="P154" s="1033"/>
      <c r="Q154" s="1034"/>
      <c r="R154" s="396"/>
    </row>
    <row r="155" spans="1:18" s="487" customFormat="1" ht="60" customHeight="1">
      <c r="A155" s="1029"/>
      <c r="B155" s="1031"/>
      <c r="C155" s="116" t="s">
        <v>318</v>
      </c>
      <c r="D155" s="117" t="s">
        <v>352</v>
      </c>
      <c r="E155" s="117" t="s">
        <v>353</v>
      </c>
      <c r="F155" s="118" t="s">
        <v>354</v>
      </c>
      <c r="G155" s="119" t="s">
        <v>322</v>
      </c>
      <c r="H155" s="120" t="s">
        <v>318</v>
      </c>
      <c r="I155" s="117" t="s">
        <v>352</v>
      </c>
      <c r="J155" s="117" t="s">
        <v>353</v>
      </c>
      <c r="K155" s="118" t="s">
        <v>354</v>
      </c>
      <c r="L155" s="119" t="s">
        <v>322</v>
      </c>
      <c r="M155" s="116" t="s">
        <v>318</v>
      </c>
      <c r="N155" s="117" t="s">
        <v>352</v>
      </c>
      <c r="O155" s="117" t="s">
        <v>353</v>
      </c>
      <c r="P155" s="118" t="s">
        <v>354</v>
      </c>
      <c r="Q155" s="119" t="s">
        <v>322</v>
      </c>
      <c r="R155" s="396"/>
    </row>
    <row r="156" spans="1:18" s="487" customFormat="1" ht="18" customHeight="1">
      <c r="A156" s="121">
        <f>A151+1</f>
        <v>86</v>
      </c>
      <c r="B156" s="122" t="s">
        <v>126</v>
      </c>
      <c r="C156" s="123">
        <f>IF('Project Description'!$C$92="Yes",H25,-'Travel Forecasts for Evaluation'!M31)</f>
        <v>0</v>
      </c>
      <c r="D156" s="169">
        <v>1.9500000000000001E-7</v>
      </c>
      <c r="E156" s="125">
        <f>C156*D156</f>
        <v>0</v>
      </c>
      <c r="F156" s="170">
        <v>490000</v>
      </c>
      <c r="G156" s="127" t="str">
        <f t="shared" ref="G156:G165" si="29">IF($H$8="(Select…)","-",E156*F156)</f>
        <v>-</v>
      </c>
      <c r="H156" s="128" t="str">
        <f>IF('Project Description'!$C$96="10 Years",-'Travel Forecasts for Evaluation'!N31,"---")</f>
        <v>---</v>
      </c>
      <c r="I156" s="169">
        <v>1.9500000000000001E-7</v>
      </c>
      <c r="J156" s="125" t="str">
        <f>IF('Project Description'!$C$96="10 Years",H156*I156,"---")</f>
        <v>---</v>
      </c>
      <c r="K156" s="170">
        <v>490000</v>
      </c>
      <c r="L156" s="127" t="str">
        <f>IF($H$8="(Select…)","-",IF('Project Description'!$C$96="10 Years",J156*K156,"---"))</f>
        <v>-</v>
      </c>
      <c r="M156" s="123" t="str">
        <f>IF('Project Description'!$C$96="20 Years",-'Travel Forecasts for Evaluation'!N31,"---")</f>
        <v>---</v>
      </c>
      <c r="N156" s="169">
        <v>1.9500000000000001E-7</v>
      </c>
      <c r="O156" s="125" t="str">
        <f>IF('Project Description'!$C$96="20 Years",M156*N156,"---")</f>
        <v>---</v>
      </c>
      <c r="P156" s="170">
        <v>490000</v>
      </c>
      <c r="Q156" s="127" t="str">
        <f>IF($H$8="(Select…)","-",IF('Project Description'!$C$96="20 Years",O156*P156,"---"))</f>
        <v>-</v>
      </c>
      <c r="R156" s="396"/>
    </row>
    <row r="157" spans="1:18" s="487" customFormat="1" ht="18" customHeight="1">
      <c r="A157" s="131">
        <f>A156+1</f>
        <v>87</v>
      </c>
      <c r="B157" s="132" t="s">
        <v>323</v>
      </c>
      <c r="C157" s="133">
        <f>-'Travel Forecasts for Evaluation'!M32</f>
        <v>0</v>
      </c>
      <c r="D157" s="171">
        <v>1.824E-6</v>
      </c>
      <c r="E157" s="135">
        <f t="shared" ref="E157:E165" si="30">C157*D157</f>
        <v>0</v>
      </c>
      <c r="F157" s="172">
        <v>490000</v>
      </c>
      <c r="G157" s="137" t="str">
        <f t="shared" si="29"/>
        <v>-</v>
      </c>
      <c r="H157" s="138" t="str">
        <f>IF('Project Description'!$C$96="10 Years",-'Travel Forecasts for Evaluation'!N32,"---")</f>
        <v>---</v>
      </c>
      <c r="I157" s="171">
        <v>1.824E-6</v>
      </c>
      <c r="J157" s="135" t="str">
        <f>IF('Project Description'!$C$96="10 Years",H157*I157,"---")</f>
        <v>---</v>
      </c>
      <c r="K157" s="172">
        <v>490000</v>
      </c>
      <c r="L157" s="137" t="str">
        <f>IF($H$8="(Select…)","-",IF('Project Description'!$C$96="10 Years",J157*K157,"---"))</f>
        <v>-</v>
      </c>
      <c r="M157" s="133" t="str">
        <f>IF('Project Description'!$C$96="20 Years",-'Travel Forecasts for Evaluation'!N32,"---")</f>
        <v>---</v>
      </c>
      <c r="N157" s="171">
        <v>1.824E-6</v>
      </c>
      <c r="O157" s="135" t="str">
        <f>IF('Project Description'!$C$96="20 Years",M157*N157,"---")</f>
        <v>---</v>
      </c>
      <c r="P157" s="172">
        <v>490000</v>
      </c>
      <c r="Q157" s="141" t="str">
        <f>IF($H$8="(Select…)","-",IF('Project Description'!$C$96="20 Years",O157*P157,"---"))</f>
        <v>-</v>
      </c>
      <c r="R157" s="396"/>
    </row>
    <row r="158" spans="1:18" s="487" customFormat="1" ht="18" customHeight="1">
      <c r="A158" s="131">
        <f t="shared" ref="A158:A166" si="31">A157+1</f>
        <v>88</v>
      </c>
      <c r="B158" s="132" t="s">
        <v>324</v>
      </c>
      <c r="C158" s="133">
        <f>-'Travel Forecasts for Evaluation'!M33</f>
        <v>0</v>
      </c>
      <c r="D158" s="171">
        <v>1.824E-6</v>
      </c>
      <c r="E158" s="135">
        <f t="shared" si="30"/>
        <v>0</v>
      </c>
      <c r="F158" s="172">
        <v>490000</v>
      </c>
      <c r="G158" s="137" t="str">
        <f t="shared" si="29"/>
        <v>-</v>
      </c>
      <c r="H158" s="138" t="str">
        <f>IF('Project Description'!$C$96="10 Years",-'Travel Forecasts for Evaluation'!N33,"---")</f>
        <v>---</v>
      </c>
      <c r="I158" s="171">
        <v>1.824E-6</v>
      </c>
      <c r="J158" s="135" t="str">
        <f>IF('Project Description'!$C$96="10 Years",H158*I158,"---")</f>
        <v>---</v>
      </c>
      <c r="K158" s="172">
        <v>490000</v>
      </c>
      <c r="L158" s="137" t="str">
        <f>IF($H$8="(Select…)","-",IF('Project Description'!$C$96="10 Years",J158*K158,"---"))</f>
        <v>-</v>
      </c>
      <c r="M158" s="133" t="str">
        <f>IF('Project Description'!$C$96="20 Years",-'Travel Forecasts for Evaluation'!N33,"---")</f>
        <v>---</v>
      </c>
      <c r="N158" s="171">
        <v>1.824E-6</v>
      </c>
      <c r="O158" s="135" t="str">
        <f>IF('Project Description'!$C$96="20 Years",M158*N158,"---")</f>
        <v>---</v>
      </c>
      <c r="P158" s="172">
        <v>490000</v>
      </c>
      <c r="Q158" s="141" t="str">
        <f>IF($H$8="(Select…)","-",IF('Project Description'!$C$96="20 Years",O158*P158,"---"))</f>
        <v>-</v>
      </c>
      <c r="R158" s="396"/>
    </row>
    <row r="159" spans="1:18" s="487" customFormat="1" ht="18" customHeight="1">
      <c r="A159" s="131">
        <f t="shared" si="31"/>
        <v>89</v>
      </c>
      <c r="B159" s="132" t="s">
        <v>325</v>
      </c>
      <c r="C159" s="133">
        <f>-'Travel Forecasts for Evaluation'!M34</f>
        <v>0</v>
      </c>
      <c r="D159" s="171">
        <v>1.824E-6</v>
      </c>
      <c r="E159" s="135">
        <f t="shared" si="30"/>
        <v>0</v>
      </c>
      <c r="F159" s="172">
        <v>490000</v>
      </c>
      <c r="G159" s="137" t="str">
        <f t="shared" si="29"/>
        <v>-</v>
      </c>
      <c r="H159" s="138" t="str">
        <f>IF('Project Description'!$C$96="10 Years",-'Travel Forecasts for Evaluation'!N34,"---")</f>
        <v>---</v>
      </c>
      <c r="I159" s="171">
        <v>1.824E-6</v>
      </c>
      <c r="J159" s="135" t="str">
        <f>IF('Project Description'!$C$96="10 Years",H159*I159,"---")</f>
        <v>---</v>
      </c>
      <c r="K159" s="172">
        <v>490000</v>
      </c>
      <c r="L159" s="137" t="str">
        <f>IF($H$8="(Select…)","-",IF('Project Description'!$C$96="10 Years",J159*K159,"---"))</f>
        <v>-</v>
      </c>
      <c r="M159" s="133" t="str">
        <f>IF('Project Description'!$C$96="20 Years",-'Travel Forecasts for Evaluation'!N34,"---")</f>
        <v>---</v>
      </c>
      <c r="N159" s="171">
        <v>1.824E-6</v>
      </c>
      <c r="O159" s="135" t="str">
        <f>IF('Project Description'!$C$96="20 Years",M159*N159,"---")</f>
        <v>---</v>
      </c>
      <c r="P159" s="172">
        <v>490000</v>
      </c>
      <c r="Q159" s="141" t="str">
        <f>IF($H$8="(Select…)","-",IF('Project Description'!$C$96="20 Years",O159*P159,"---"))</f>
        <v>-</v>
      </c>
      <c r="R159" s="396"/>
    </row>
    <row r="160" spans="1:18" s="487" customFormat="1" ht="18" customHeight="1">
      <c r="A160" s="131">
        <f t="shared" si="31"/>
        <v>90</v>
      </c>
      <c r="B160" s="132" t="s">
        <v>326</v>
      </c>
      <c r="C160" s="133">
        <f>-'Travel Forecasts for Evaluation'!M35</f>
        <v>0</v>
      </c>
      <c r="D160" s="171">
        <v>1.4580000000000001E-6</v>
      </c>
      <c r="E160" s="135">
        <f t="shared" si="30"/>
        <v>0</v>
      </c>
      <c r="F160" s="172">
        <v>490000</v>
      </c>
      <c r="G160" s="137" t="str">
        <f t="shared" si="29"/>
        <v>-</v>
      </c>
      <c r="H160" s="138" t="str">
        <f>IF('Project Description'!$C$96="10 Years",-'Travel Forecasts for Evaluation'!N35,"---")</f>
        <v>---</v>
      </c>
      <c r="I160" s="171">
        <v>1.4580000000000001E-6</v>
      </c>
      <c r="J160" s="135" t="str">
        <f>IF('Project Description'!$C$96="10 Years",H160*I160,"---")</f>
        <v>---</v>
      </c>
      <c r="K160" s="172">
        <v>490000</v>
      </c>
      <c r="L160" s="137" t="str">
        <f>IF($H$8="(Select…)","-",IF('Project Description'!$C$96="10 Years",J160*K160,"---"))</f>
        <v>-</v>
      </c>
      <c r="M160" s="133" t="str">
        <f>IF('Project Description'!$C$96="20 Years",-'Travel Forecasts for Evaluation'!N35,"---")</f>
        <v>---</v>
      </c>
      <c r="N160" s="171">
        <v>1.4580000000000001E-6</v>
      </c>
      <c r="O160" s="135" t="str">
        <f>IF('Project Description'!$C$96="20 Years",M160*N160,"---")</f>
        <v>---</v>
      </c>
      <c r="P160" s="172">
        <v>490000</v>
      </c>
      <c r="Q160" s="141" t="str">
        <f>IF($H$8="(Select…)","-",IF('Project Description'!$C$96="20 Years",O160*P160,"---"))</f>
        <v>-</v>
      </c>
      <c r="R160" s="396"/>
    </row>
    <row r="161" spans="1:17" s="487" customFormat="1" ht="18" customHeight="1">
      <c r="A161" s="131">
        <f t="shared" si="31"/>
        <v>91</v>
      </c>
      <c r="B161" s="132" t="s">
        <v>327</v>
      </c>
      <c r="C161" s="133">
        <f>-'Travel Forecasts for Evaluation'!M36</f>
        <v>0</v>
      </c>
      <c r="D161" s="171">
        <v>1.55E-7</v>
      </c>
      <c r="E161" s="135">
        <f t="shared" si="30"/>
        <v>0</v>
      </c>
      <c r="F161" s="172">
        <v>490000</v>
      </c>
      <c r="G161" s="137" t="str">
        <f t="shared" si="29"/>
        <v>-</v>
      </c>
      <c r="H161" s="138" t="str">
        <f>IF('Project Description'!$C$96="10 Years",-'Travel Forecasts for Evaluation'!N36,"---")</f>
        <v>---</v>
      </c>
      <c r="I161" s="171">
        <v>1.55E-7</v>
      </c>
      <c r="J161" s="135" t="str">
        <f>IF('Project Description'!$C$96="10 Years",H161*I161,"---")</f>
        <v>---</v>
      </c>
      <c r="K161" s="172">
        <v>490000</v>
      </c>
      <c r="L161" s="137" t="str">
        <f>IF($H$8="(Select…)","-",IF('Project Description'!$C$96="10 Years",J161*K161,"---"))</f>
        <v>-</v>
      </c>
      <c r="M161" s="133" t="str">
        <f>IF('Project Description'!$C$96="20 Years",-'Travel Forecasts for Evaluation'!N36,"---")</f>
        <v>---</v>
      </c>
      <c r="N161" s="171">
        <v>1.55E-7</v>
      </c>
      <c r="O161" s="135" t="str">
        <f>IF('Project Description'!$C$96="20 Years",M161*N161,"---")</f>
        <v>---</v>
      </c>
      <c r="P161" s="172">
        <v>490000</v>
      </c>
      <c r="Q161" s="141" t="str">
        <f>IF($H$8="(Select…)","-",IF('Project Description'!$C$96="20 Years",O161*P161,"---"))</f>
        <v>-</v>
      </c>
    </row>
    <row r="162" spans="1:17" s="487" customFormat="1" ht="18" customHeight="1">
      <c r="A162" s="131">
        <f t="shared" si="31"/>
        <v>92</v>
      </c>
      <c r="B162" s="132" t="s">
        <v>328</v>
      </c>
      <c r="C162" s="133">
        <f>-'Travel Forecasts for Evaluation'!M37</f>
        <v>0</v>
      </c>
      <c r="D162" s="171">
        <v>1.6959999999999999E-6</v>
      </c>
      <c r="E162" s="135">
        <f t="shared" si="30"/>
        <v>0</v>
      </c>
      <c r="F162" s="172">
        <v>490000</v>
      </c>
      <c r="G162" s="137" t="str">
        <f t="shared" si="29"/>
        <v>-</v>
      </c>
      <c r="H162" s="138" t="str">
        <f>IF('Project Description'!$C$96="10 Years",-'Travel Forecasts for Evaluation'!N37,"---")</f>
        <v>---</v>
      </c>
      <c r="I162" s="171">
        <v>1.6959999999999999E-6</v>
      </c>
      <c r="J162" s="135" t="str">
        <f>IF('Project Description'!$C$96="10 Years",H162*I162,"---")</f>
        <v>---</v>
      </c>
      <c r="K162" s="172">
        <v>490000</v>
      </c>
      <c r="L162" s="137" t="str">
        <f>IF($H$8="(Select…)","-",IF('Project Description'!$C$96="10 Years",J162*K162,"---"))</f>
        <v>-</v>
      </c>
      <c r="M162" s="133" t="str">
        <f>IF('Project Description'!$C$96="20 Years",-'Travel Forecasts for Evaluation'!N37,"---")</f>
        <v>---</v>
      </c>
      <c r="N162" s="171">
        <v>1.6959999999999999E-6</v>
      </c>
      <c r="O162" s="135" t="str">
        <f>IF('Project Description'!$C$96="20 Years",M162*N162,"---")</f>
        <v>---</v>
      </c>
      <c r="P162" s="172">
        <v>490000</v>
      </c>
      <c r="Q162" s="141" t="str">
        <f>IF($H$8="(Select…)","-",IF('Project Description'!$C$96="20 Years",O162*P162,"---"))</f>
        <v>-</v>
      </c>
    </row>
    <row r="163" spans="1:17" s="487" customFormat="1" ht="26">
      <c r="A163" s="131">
        <f t="shared" si="31"/>
        <v>93</v>
      </c>
      <c r="B163" s="132" t="s">
        <v>329</v>
      </c>
      <c r="C163" s="133">
        <f>-'Travel Forecasts for Evaluation'!M38</f>
        <v>0</v>
      </c>
      <c r="D163" s="171">
        <v>1.7460000000000001E-6</v>
      </c>
      <c r="E163" s="135">
        <f t="shared" si="30"/>
        <v>0</v>
      </c>
      <c r="F163" s="172">
        <v>490000</v>
      </c>
      <c r="G163" s="137" t="str">
        <f t="shared" si="29"/>
        <v>-</v>
      </c>
      <c r="H163" s="138" t="str">
        <f>IF('Project Description'!$C$96="10 Years",-'Travel Forecasts for Evaluation'!N38,"---")</f>
        <v>---</v>
      </c>
      <c r="I163" s="171">
        <v>1.7460000000000001E-6</v>
      </c>
      <c r="J163" s="135" t="str">
        <f>IF('Project Description'!$C$96="10 Years",H163*I163,"---")</f>
        <v>---</v>
      </c>
      <c r="K163" s="172">
        <v>490000</v>
      </c>
      <c r="L163" s="137" t="str">
        <f>IF($H$8="(Select…)","-",IF('Project Description'!$C$96="10 Years",J163*K163,"---"))</f>
        <v>-</v>
      </c>
      <c r="M163" s="133" t="str">
        <f>IF('Project Description'!$C$96="20 Years",-'Travel Forecasts for Evaluation'!N38,"---")</f>
        <v>---</v>
      </c>
      <c r="N163" s="171">
        <v>1.7460000000000001E-6</v>
      </c>
      <c r="O163" s="135" t="str">
        <f>IF('Project Description'!$C$96="20 Years",M163*N163,"---")</f>
        <v>---</v>
      </c>
      <c r="P163" s="172">
        <v>490000</v>
      </c>
      <c r="Q163" s="141" t="str">
        <f>IF($H$8="(Select…)","-",IF('Project Description'!$C$96="20 Years",O163*P163,"---"))</f>
        <v>-</v>
      </c>
    </row>
    <row r="164" spans="1:17" s="487" customFormat="1" ht="26">
      <c r="A164" s="131">
        <f t="shared" si="31"/>
        <v>94</v>
      </c>
      <c r="B164" s="132" t="s">
        <v>330</v>
      </c>
      <c r="C164" s="133">
        <f>-'Travel Forecasts for Evaluation'!M39</f>
        <v>0</v>
      </c>
      <c r="D164" s="171">
        <v>1.7460000000000001E-6</v>
      </c>
      <c r="E164" s="135">
        <f t="shared" si="30"/>
        <v>0</v>
      </c>
      <c r="F164" s="172">
        <v>490000</v>
      </c>
      <c r="G164" s="137" t="str">
        <f t="shared" si="29"/>
        <v>-</v>
      </c>
      <c r="H164" s="138" t="str">
        <f>IF('Project Description'!$C$96="10 Years",-'Travel Forecasts for Evaluation'!N39,"---")</f>
        <v>---</v>
      </c>
      <c r="I164" s="171">
        <v>1.7460000000000001E-6</v>
      </c>
      <c r="J164" s="135" t="str">
        <f>IF('Project Description'!$C$96="10 Years",H164*I164,"---")</f>
        <v>---</v>
      </c>
      <c r="K164" s="172">
        <v>490000</v>
      </c>
      <c r="L164" s="137" t="str">
        <f>IF($H$8="(Select…)","-",IF('Project Description'!$C$96="10 Years",J164*K164,"---"))</f>
        <v>-</v>
      </c>
      <c r="M164" s="133" t="str">
        <f>IF('Project Description'!$C$96="20 Years",-'Travel Forecasts for Evaluation'!N39,"---")</f>
        <v>---</v>
      </c>
      <c r="N164" s="171">
        <v>1.7460000000000001E-6</v>
      </c>
      <c r="O164" s="135" t="str">
        <f>IF('Project Description'!$C$96="20 Years",M164*N164,"---")</f>
        <v>---</v>
      </c>
      <c r="P164" s="172">
        <v>490000</v>
      </c>
      <c r="Q164" s="141" t="str">
        <f>IF($H$8="(Select…)","-",IF('Project Description'!$C$96="20 Years",O164*P164,"---"))</f>
        <v>-</v>
      </c>
    </row>
    <row r="165" spans="1:17" s="487" customFormat="1" ht="18" customHeight="1">
      <c r="A165" s="142">
        <f t="shared" si="31"/>
        <v>95</v>
      </c>
      <c r="B165" s="143" t="s">
        <v>331</v>
      </c>
      <c r="C165" s="144">
        <f>-'Travel Forecasts for Evaluation'!M40</f>
        <v>0</v>
      </c>
      <c r="D165" s="173">
        <v>1.7460000000000001E-6</v>
      </c>
      <c r="E165" s="146">
        <f t="shared" si="30"/>
        <v>0</v>
      </c>
      <c r="F165" s="174">
        <v>490000</v>
      </c>
      <c r="G165" s="148" t="str">
        <f t="shared" si="29"/>
        <v>-</v>
      </c>
      <c r="H165" s="149" t="str">
        <f>IF('Project Description'!$C$96="10 Years",-'Travel Forecasts for Evaluation'!N40,"---")</f>
        <v>---</v>
      </c>
      <c r="I165" s="173">
        <v>1.7460000000000001E-6</v>
      </c>
      <c r="J165" s="146" t="str">
        <f>IF('Project Description'!$C$96="10 Years",H165*I165,"---")</f>
        <v>---</v>
      </c>
      <c r="K165" s="174">
        <v>490000</v>
      </c>
      <c r="L165" s="148" t="str">
        <f>IF($H$8="(Select…)","-",IF('Project Description'!$C$96="10 Years",J165*K165,"---"))</f>
        <v>-</v>
      </c>
      <c r="M165" s="144" t="str">
        <f>IF('Project Description'!$C$96="20 Years",-'Travel Forecasts for Evaluation'!N40,"---")</f>
        <v>---</v>
      </c>
      <c r="N165" s="173">
        <v>1.7460000000000001E-6</v>
      </c>
      <c r="O165" s="146" t="str">
        <f>IF('Project Description'!$C$96="20 Years",M165*N165,"---")</f>
        <v>---</v>
      </c>
      <c r="P165" s="174">
        <v>490000</v>
      </c>
      <c r="Q165" s="152" t="str">
        <f>IF($H$8="(Select…)","-",IF('Project Description'!$C$96="20 Years",O165*P165,"---"))</f>
        <v>-</v>
      </c>
    </row>
    <row r="166" spans="1:17" ht="16" thickBot="1">
      <c r="A166" s="153">
        <f t="shared" si="31"/>
        <v>96</v>
      </c>
      <c r="B166" s="154" t="s">
        <v>332</v>
      </c>
      <c r="C166" s="155">
        <f>SUM(C156:C165)</f>
        <v>0</v>
      </c>
      <c r="D166" s="156" t="s">
        <v>112</v>
      </c>
      <c r="E166" s="157">
        <f>SUM(E156:E165)</f>
        <v>0</v>
      </c>
      <c r="F166" s="158" t="s">
        <v>112</v>
      </c>
      <c r="G166" s="159">
        <f>SUM(G156:G165)</f>
        <v>0</v>
      </c>
      <c r="H166" s="160" t="str">
        <f>IF('Project Description'!$C$96="10 Years",SUM(H156:H165),"---")</f>
        <v>---</v>
      </c>
      <c r="I166" s="161" t="s">
        <v>112</v>
      </c>
      <c r="J166" s="157" t="str">
        <f>IF('Project Description'!$C$96="10 Years",SUM(J156:J165),"---")</f>
        <v>---</v>
      </c>
      <c r="K166" s="162" t="s">
        <v>112</v>
      </c>
      <c r="L166" s="159" t="str">
        <f>IF('Project Description'!$C$96="10 Years",SUM(L156:L165),"---")</f>
        <v>---</v>
      </c>
      <c r="M166" s="155" t="str">
        <f>IF('Project Description'!$C$96="20 Years",SUM(M156:M165),"---")</f>
        <v>---</v>
      </c>
      <c r="N166" s="161" t="s">
        <v>112</v>
      </c>
      <c r="O166" s="157" t="str">
        <f>IF('Project Description'!$C$96="20 Years",SUM(O156:O165),"---")</f>
        <v>---</v>
      </c>
      <c r="P166" s="162" t="s">
        <v>112</v>
      </c>
      <c r="Q166" s="159" t="str">
        <f>IF('Project Description'!$C$96="20 Years",SUM(Q156:Q165),"---")</f>
        <v>---</v>
      </c>
    </row>
    <row r="167" spans="1:17" ht="15.5">
      <c r="A167" s="237"/>
      <c r="C167" s="362"/>
      <c r="D167" s="362"/>
      <c r="E167" s="395"/>
      <c r="F167" s="395"/>
      <c r="G167" s="395"/>
      <c r="H167" s="395"/>
      <c r="I167" s="396"/>
      <c r="J167" s="396"/>
    </row>
    <row r="168" spans="1:17" ht="12.5">
      <c r="A168" s="175" t="s">
        <v>355</v>
      </c>
      <c r="C168" s="362"/>
      <c r="D168" s="362"/>
      <c r="E168" s="395"/>
      <c r="F168" s="395"/>
      <c r="G168" s="395"/>
      <c r="H168" s="395"/>
      <c r="I168" s="396"/>
      <c r="J168" s="396"/>
    </row>
  </sheetData>
  <sheetProtection algorithmName="SHA-512" hashValue="rXktSYnWLDdqnjk8dLKiUK9+76mGDGydlTtGylQ5h0ubiOqoaki1O5V/QVhyJBe5Q5MWnPAR+uKEauXh8W+mVg==" saltValue="foUqnMbK9BlobywanPn45w==" spinCount="100000" sheet="1" formatCells="0" formatColumns="0" formatRows="0" insertColumns="0" insertRows="0" insertHyperlinks="0" selectLockedCells="1"/>
  <mergeCells count="123">
    <mergeCell ref="A27:Q27"/>
    <mergeCell ref="H33:K33"/>
    <mergeCell ref="A136:Q136"/>
    <mergeCell ref="L29:Q29"/>
    <mergeCell ref="A55:A56"/>
    <mergeCell ref="B55:B56"/>
    <mergeCell ref="C55:G55"/>
    <mergeCell ref="H55:L55"/>
    <mergeCell ref="M55:Q55"/>
    <mergeCell ref="M89:Q89"/>
    <mergeCell ref="H30:I30"/>
    <mergeCell ref="H31:I31"/>
    <mergeCell ref="J30:K30"/>
    <mergeCell ref="J31:K31"/>
    <mergeCell ref="A54:Q54"/>
    <mergeCell ref="A36:Q36"/>
    <mergeCell ref="A37:L37"/>
    <mergeCell ref="A121:Q121"/>
    <mergeCell ref="A122:A123"/>
    <mergeCell ref="H32:K32"/>
    <mergeCell ref="L32:Q32"/>
    <mergeCell ref="A72:Q72"/>
    <mergeCell ref="A73:A74"/>
    <mergeCell ref="J28:K28"/>
    <mergeCell ref="J29:K29"/>
    <mergeCell ref="H73:L73"/>
    <mergeCell ref="M73:Q73"/>
    <mergeCell ref="A35:Q35"/>
    <mergeCell ref="A38:Q38"/>
    <mergeCell ref="C39:G39"/>
    <mergeCell ref="H39:L39"/>
    <mergeCell ref="M39:Q39"/>
    <mergeCell ref="B122:B123"/>
    <mergeCell ref="C122:G122"/>
    <mergeCell ref="H122:L122"/>
    <mergeCell ref="M122:Q122"/>
    <mergeCell ref="A89:A90"/>
    <mergeCell ref="B89:B90"/>
    <mergeCell ref="C89:G89"/>
    <mergeCell ref="H89:L89"/>
    <mergeCell ref="A70:Q70"/>
    <mergeCell ref="A103:Q103"/>
    <mergeCell ref="B73:B74"/>
    <mergeCell ref="C73:G73"/>
    <mergeCell ref="A153:Q153"/>
    <mergeCell ref="A154:A155"/>
    <mergeCell ref="B154:B155"/>
    <mergeCell ref="C154:G154"/>
    <mergeCell ref="H154:L154"/>
    <mergeCell ref="M154:Q154"/>
    <mergeCell ref="A138:Q138"/>
    <mergeCell ref="A139:A140"/>
    <mergeCell ref="B139:B140"/>
    <mergeCell ref="C139:G139"/>
    <mergeCell ref="H139:L139"/>
    <mergeCell ref="M139:Q139"/>
    <mergeCell ref="A1:Q1"/>
    <mergeCell ref="A105:Q105"/>
    <mergeCell ref="A106:A107"/>
    <mergeCell ref="B106:B107"/>
    <mergeCell ref="C106:G106"/>
    <mergeCell ref="H106:L106"/>
    <mergeCell ref="M106:Q106"/>
    <mergeCell ref="A88:Q88"/>
    <mergeCell ref="B7:G7"/>
    <mergeCell ref="B8:G8"/>
    <mergeCell ref="B29:G29"/>
    <mergeCell ref="B30:G30"/>
    <mergeCell ref="B31:G31"/>
    <mergeCell ref="B32:G32"/>
    <mergeCell ref="A39:A40"/>
    <mergeCell ref="B39:B40"/>
    <mergeCell ref="A6:Q6"/>
    <mergeCell ref="H7:K7"/>
    <mergeCell ref="H8:K8"/>
    <mergeCell ref="H28:I28"/>
    <mergeCell ref="H29:I29"/>
    <mergeCell ref="B17:G17"/>
    <mergeCell ref="B9:G9"/>
    <mergeCell ref="H9:K9"/>
    <mergeCell ref="B14:G14"/>
    <mergeCell ref="H14:K14"/>
    <mergeCell ref="H15:K15"/>
    <mergeCell ref="H16:K16"/>
    <mergeCell ref="H17:K17"/>
    <mergeCell ref="H18:K18"/>
    <mergeCell ref="B22:G22"/>
    <mergeCell ref="B23:G23"/>
    <mergeCell ref="A2:E2"/>
    <mergeCell ref="F2:Q2"/>
    <mergeCell ref="B10:G10"/>
    <mergeCell ref="H10:K10"/>
    <mergeCell ref="B11:G11"/>
    <mergeCell ref="H11:K11"/>
    <mergeCell ref="L8:Q11"/>
    <mergeCell ref="A13:Q13"/>
    <mergeCell ref="B18:G18"/>
    <mergeCell ref="B19:G19"/>
    <mergeCell ref="B20:G20"/>
    <mergeCell ref="B21:G21"/>
    <mergeCell ref="B15:G15"/>
    <mergeCell ref="A4:Q4"/>
    <mergeCell ref="B24:G24"/>
    <mergeCell ref="B25:G25"/>
    <mergeCell ref="H24:K24"/>
    <mergeCell ref="H25:K25"/>
    <mergeCell ref="L15:Q15"/>
    <mergeCell ref="L16:Q16"/>
    <mergeCell ref="L17:Q17"/>
    <mergeCell ref="L18:Q18"/>
    <mergeCell ref="L19:Q19"/>
    <mergeCell ref="L20:Q20"/>
    <mergeCell ref="L21:Q21"/>
    <mergeCell ref="L22:Q22"/>
    <mergeCell ref="L23:Q23"/>
    <mergeCell ref="L24:Q24"/>
    <mergeCell ref="L25:Q25"/>
    <mergeCell ref="H19:K19"/>
    <mergeCell ref="H20:K20"/>
    <mergeCell ref="H21:K21"/>
    <mergeCell ref="H22:K22"/>
    <mergeCell ref="H23:K23"/>
    <mergeCell ref="B16:G16"/>
  </mergeCells>
  <conditionalFormatting sqref="A4">
    <cfRule type="expression" dxfId="2" priority="83">
      <formula>AND($A4&lt;&gt;"")</formula>
    </cfRule>
  </conditionalFormatting>
  <conditionalFormatting sqref="H23:K23">
    <cfRule type="expression" dxfId="1" priority="1">
      <formula>AND(NOT(ISNUMBER(H23)))</formula>
    </cfRule>
  </conditionalFormatting>
  <dataValidations count="1">
    <dataValidation type="list" allowBlank="1" showInputMessage="1" showErrorMessage="1" error="Please select a value from the drop-down list.  (Do not change the list -- otherwise formulas in this workbook will not work correctly.)" sqref="H8:K12 H26:K26" xr:uid="{00000000-0002-0000-0400-000000000000}">
      <formula1>"(Select…),Attainment,Maintenance,Nonattainment"</formula1>
    </dataValidation>
  </dataValidations>
  <hyperlinks>
    <hyperlink ref="L8" r:id="rId1" display="EPA Green Book" xr:uid="{00000000-0004-0000-0400-000000000000}"/>
    <hyperlink ref="L8:Q11" r:id="rId2" display="Source: EPA Green Book" xr:uid="{00000000-0004-0000-0400-000001000000}"/>
  </hyperlinks>
  <pageMargins left="0.25" right="0.25" top="0.75" bottom="0.75" header="0.3" footer="0.3"/>
  <pageSetup scale="65" fitToHeight="0" orientation="landscape" horizontalDpi="4294967293" verticalDpi="4294967293" r:id="rId3"/>
  <rowBreaks count="4" manualBreakCount="4">
    <brk id="33" max="16383" man="1"/>
    <brk id="69" max="16" man="1"/>
    <brk id="102" max="16" man="1"/>
    <brk id="135" max="16" man="1"/>
  </rowBreaks>
  <ignoredErrors>
    <ignoredError sqref="F41:F50 K41:K50 P41:P50"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2" id="{5BA4F937-AE28-4AA6-BB00-8B81B7861316}">
            <xm:f>OR('Project Description'!$C$92="No",'Project Description'!$C$92="(Select…)")</xm:f>
            <x14:dxf>
              <fill>
                <patternFill patternType="solid">
                  <bgColor theme="1"/>
                </patternFill>
              </fill>
            </x14:dxf>
          </x14:cfRule>
          <xm:sqref>H15:K25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I165"/>
  <sheetViews>
    <sheetView showGridLines="0" showWhiteSpace="0" zoomScaleNormal="100" zoomScaleSheetLayoutView="110" workbookViewId="0">
      <selection activeCell="B4" sqref="B4"/>
    </sheetView>
  </sheetViews>
  <sheetFormatPr defaultColWidth="9.33203125" defaultRowHeight="15.5"/>
  <cols>
    <col min="1" max="1" width="74.44140625" style="510" customWidth="1"/>
    <col min="2" max="2" width="29.44140625" style="510" customWidth="1"/>
    <col min="3" max="3" width="33.6640625" style="510" customWidth="1"/>
    <col min="4" max="4" width="20.6640625" style="510" customWidth="1"/>
    <col min="5" max="5" width="14.44140625" style="510" customWidth="1"/>
    <col min="6" max="6" width="36.6640625" style="510" customWidth="1"/>
    <col min="7" max="16384" width="9.33203125" style="510"/>
  </cols>
  <sheetData>
    <row r="1" spans="1:6" s="479" customFormat="1" ht="18.5" thickBot="1">
      <c r="A1" s="1022" t="s">
        <v>356</v>
      </c>
      <c r="B1" s="1023"/>
      <c r="C1" s="1023"/>
      <c r="D1" s="1023"/>
      <c r="E1" s="1023"/>
      <c r="F1" s="1024"/>
    </row>
    <row r="2" spans="1:6" s="481" customFormat="1" ht="16" thickBot="1">
      <c r="A2" s="101" t="s">
        <v>0</v>
      </c>
      <c r="B2" s="1000" t="str">
        <f>IF('Project Description'!B2:D2&lt;&gt;"",+'Project Description'!B2:D2,"")</f>
        <v/>
      </c>
      <c r="C2" s="1001"/>
      <c r="D2" s="1001"/>
      <c r="E2" s="1001"/>
      <c r="F2" s="1002"/>
    </row>
    <row r="3" spans="1:6" ht="22.5" customHeight="1" thickBot="1">
      <c r="A3" s="1176"/>
      <c r="B3" s="1177"/>
      <c r="C3" s="1177"/>
      <c r="D3" s="1177"/>
      <c r="E3" s="1177"/>
      <c r="F3" s="1178"/>
    </row>
    <row r="4" spans="1:6" ht="64.5" customHeight="1" thickBot="1">
      <c r="A4" s="258" t="s">
        <v>503</v>
      </c>
      <c r="B4" s="7"/>
      <c r="C4" s="1173" t="s">
        <v>357</v>
      </c>
      <c r="D4" s="1147"/>
      <c r="E4" s="1174"/>
      <c r="F4" s="1175"/>
    </row>
    <row r="5" spans="1:6" ht="23.25" customHeight="1" thickBot="1">
      <c r="A5" s="102" t="s">
        <v>358</v>
      </c>
      <c r="B5" s="308"/>
      <c r="C5" s="1135" t="s">
        <v>359</v>
      </c>
      <c r="D5" s="1147"/>
      <c r="E5" s="1148">
        <f>IF(E4&gt;0,B5/E4,0)</f>
        <v>0</v>
      </c>
      <c r="F5" s="1149"/>
    </row>
    <row r="6" spans="1:6" ht="23.25" customHeight="1" thickBot="1">
      <c r="A6" s="102" t="s">
        <v>360</v>
      </c>
      <c r="B6" s="466"/>
      <c r="C6" s="1173" t="s">
        <v>361</v>
      </c>
      <c r="D6" s="1147"/>
      <c r="E6" s="1179"/>
      <c r="F6" s="1180"/>
    </row>
    <row r="7" spans="1:6" ht="48.75" customHeight="1" thickBot="1">
      <c r="A7" s="1181" t="s">
        <v>362</v>
      </c>
      <c r="B7" s="1182"/>
      <c r="C7" s="1182"/>
      <c r="D7" s="1183"/>
      <c r="E7" s="1184"/>
      <c r="F7" s="1185"/>
    </row>
    <row r="8" spans="1:6" ht="20.25" customHeight="1" thickBot="1">
      <c r="A8" s="1176"/>
      <c r="B8" s="1177"/>
      <c r="C8" s="1177"/>
      <c r="D8" s="1177"/>
      <c r="E8" s="1177"/>
      <c r="F8" s="1178"/>
    </row>
    <row r="9" spans="1:6">
      <c r="A9" s="1137" t="s">
        <v>363</v>
      </c>
      <c r="B9" s="1138"/>
      <c r="C9" s="1096" t="s">
        <v>364</v>
      </c>
      <c r="D9" s="1087" t="s">
        <v>365</v>
      </c>
      <c r="E9" s="1080"/>
      <c r="F9" s="1080" t="s">
        <v>366</v>
      </c>
    </row>
    <row r="10" spans="1:6" ht="31.5" customHeight="1" thickBot="1">
      <c r="A10" s="1150" t="s">
        <v>367</v>
      </c>
      <c r="B10" s="1151"/>
      <c r="C10" s="1097"/>
      <c r="D10" s="1081"/>
      <c r="E10" s="1082"/>
      <c r="F10" s="1082"/>
    </row>
    <row r="11" spans="1:6" ht="21" customHeight="1">
      <c r="A11" s="1188" t="s">
        <v>368</v>
      </c>
      <c r="B11" s="1189"/>
      <c r="C11" s="331"/>
      <c r="D11" s="1158"/>
      <c r="E11" s="1159"/>
      <c r="F11" s="397">
        <f>IF($E$4&gt;0,D11/$E$4,0)</f>
        <v>0</v>
      </c>
    </row>
    <row r="12" spans="1:6" ht="21" customHeight="1">
      <c r="A12" s="1152" t="s">
        <v>369</v>
      </c>
      <c r="B12" s="1153"/>
      <c r="C12" s="320"/>
      <c r="D12" s="1154"/>
      <c r="E12" s="1155"/>
      <c r="F12" s="398">
        <f>IF($E$4&gt;0,D12/$E$4,0)</f>
        <v>0</v>
      </c>
    </row>
    <row r="13" spans="1:6" ht="21" customHeight="1">
      <c r="A13" s="1152" t="s">
        <v>370</v>
      </c>
      <c r="B13" s="1153"/>
      <c r="C13" s="320"/>
      <c r="D13" s="1154"/>
      <c r="E13" s="1155"/>
      <c r="F13" s="398">
        <f>IF($E$4&gt;0,D13/$E$4,0)</f>
        <v>0</v>
      </c>
    </row>
    <row r="14" spans="1:6" ht="21" customHeight="1" thickBot="1">
      <c r="A14" s="1186" t="s">
        <v>371</v>
      </c>
      <c r="B14" s="1187"/>
      <c r="C14" s="399"/>
      <c r="D14" s="1161"/>
      <c r="E14" s="1162"/>
      <c r="F14" s="400">
        <f>IF($E$4&gt;0,D14/$E$4,0)</f>
        <v>0</v>
      </c>
    </row>
    <row r="15" spans="1:6" s="19" customFormat="1" ht="15" customHeight="1">
      <c r="A15" s="1137" t="s">
        <v>372</v>
      </c>
      <c r="B15" s="1138"/>
      <c r="C15" s="1096" t="s">
        <v>364</v>
      </c>
      <c r="D15" s="1087" t="s">
        <v>365</v>
      </c>
      <c r="E15" s="1080"/>
      <c r="F15" s="1080" t="s">
        <v>366</v>
      </c>
    </row>
    <row r="16" spans="1:6" s="19" customFormat="1" ht="31.5" customHeight="1" thickBot="1">
      <c r="A16" s="1160" t="s">
        <v>373</v>
      </c>
      <c r="B16" s="1151"/>
      <c r="C16" s="1097"/>
      <c r="D16" s="1081"/>
      <c r="E16" s="1082"/>
      <c r="F16" s="1082"/>
    </row>
    <row r="17" spans="1:6" ht="18" customHeight="1">
      <c r="A17" s="1156" t="s">
        <v>374</v>
      </c>
      <c r="B17" s="1157"/>
      <c r="C17" s="331"/>
      <c r="D17" s="1158"/>
      <c r="E17" s="1159"/>
      <c r="F17" s="397">
        <f>IF($E$4&gt;0,D17/$E$4,0)</f>
        <v>0</v>
      </c>
    </row>
    <row r="18" spans="1:6" ht="18" customHeight="1">
      <c r="A18" s="1152" t="s">
        <v>369</v>
      </c>
      <c r="B18" s="1153"/>
      <c r="C18" s="320"/>
      <c r="D18" s="1154"/>
      <c r="E18" s="1155"/>
      <c r="F18" s="398">
        <f>IF($E$4&gt;0,D18/$E$4,0)</f>
        <v>0</v>
      </c>
    </row>
    <row r="19" spans="1:6" ht="18" customHeight="1">
      <c r="A19" s="1152" t="s">
        <v>370</v>
      </c>
      <c r="B19" s="1153"/>
      <c r="C19" s="320"/>
      <c r="D19" s="1154"/>
      <c r="E19" s="1155"/>
      <c r="F19" s="398">
        <f t="shared" ref="F19:F20" si="0">IF($E$4&gt;0,D19/$E$4,0)</f>
        <v>0</v>
      </c>
    </row>
    <row r="20" spans="1:6" ht="18" customHeight="1">
      <c r="A20" s="1152" t="s">
        <v>371</v>
      </c>
      <c r="B20" s="1153"/>
      <c r="C20" s="320"/>
      <c r="D20" s="1154"/>
      <c r="E20" s="1155"/>
      <c r="F20" s="398">
        <f t="shared" si="0"/>
        <v>0</v>
      </c>
    </row>
    <row r="21" spans="1:6" ht="18" customHeight="1">
      <c r="A21" s="1152" t="s">
        <v>375</v>
      </c>
      <c r="B21" s="1153"/>
      <c r="C21" s="320"/>
      <c r="D21" s="1154"/>
      <c r="E21" s="1155"/>
      <c r="F21" s="398">
        <f>IF($E$4&gt;0,D21/$E$4,0)</f>
        <v>0</v>
      </c>
    </row>
    <row r="22" spans="1:6" ht="18" customHeight="1" thickBot="1">
      <c r="A22" s="1152" t="s">
        <v>376</v>
      </c>
      <c r="B22" s="1153"/>
      <c r="C22" s="401"/>
      <c r="D22" s="1161"/>
      <c r="E22" s="1162"/>
      <c r="F22" s="400">
        <f>IF($E$4&gt;0,D22/$E$4,0)</f>
        <v>0</v>
      </c>
    </row>
    <row r="23" spans="1:6" ht="15" customHeight="1">
      <c r="A23" s="1116" t="s">
        <v>377</v>
      </c>
      <c r="B23" s="1171"/>
      <c r="C23" s="1096" t="s">
        <v>364</v>
      </c>
      <c r="D23" s="1087" t="s">
        <v>365</v>
      </c>
      <c r="E23" s="1080"/>
      <c r="F23" s="1080" t="s">
        <v>366</v>
      </c>
    </row>
    <row r="24" spans="1:6" ht="31.5" customHeight="1" thickBot="1">
      <c r="A24" s="1160" t="s">
        <v>378</v>
      </c>
      <c r="B24" s="1172"/>
      <c r="C24" s="1097"/>
      <c r="D24" s="1081"/>
      <c r="E24" s="1082"/>
      <c r="F24" s="1082"/>
    </row>
    <row r="25" spans="1:6" ht="19.5" customHeight="1">
      <c r="A25" s="1190" t="s">
        <v>379</v>
      </c>
      <c r="B25" s="1191"/>
      <c r="C25" s="331"/>
      <c r="D25" s="1158"/>
      <c r="E25" s="1159"/>
      <c r="F25" s="397">
        <f>IF($E$4&gt;0,D25/$E$4,0)</f>
        <v>0</v>
      </c>
    </row>
    <row r="26" spans="1:6" ht="19.5" customHeight="1">
      <c r="A26" s="1152" t="s">
        <v>369</v>
      </c>
      <c r="B26" s="1153"/>
      <c r="C26" s="320"/>
      <c r="D26" s="1154"/>
      <c r="E26" s="1155"/>
      <c r="F26" s="402">
        <f>IF($E$4&gt;0,D26/$E$4,0)</f>
        <v>0</v>
      </c>
    </row>
    <row r="27" spans="1:6" ht="19.5" customHeight="1">
      <c r="A27" s="1152" t="s">
        <v>370</v>
      </c>
      <c r="B27" s="1153"/>
      <c r="C27" s="320"/>
      <c r="D27" s="1154"/>
      <c r="E27" s="1155"/>
      <c r="F27" s="402">
        <f t="shared" ref="F27:F36" si="1">IF($E$4&gt;0,D27/$E$4,0)</f>
        <v>0</v>
      </c>
    </row>
    <row r="28" spans="1:6" ht="19.5" customHeight="1">
      <c r="A28" s="1152" t="s">
        <v>371</v>
      </c>
      <c r="B28" s="1153"/>
      <c r="C28" s="320"/>
      <c r="D28" s="1154"/>
      <c r="E28" s="1155"/>
      <c r="F28" s="402">
        <f t="shared" si="1"/>
        <v>0</v>
      </c>
    </row>
    <row r="29" spans="1:6" ht="19.5" customHeight="1">
      <c r="A29" s="1152" t="s">
        <v>375</v>
      </c>
      <c r="B29" s="1153"/>
      <c r="C29" s="320"/>
      <c r="D29" s="1154"/>
      <c r="E29" s="1155"/>
      <c r="F29" s="402">
        <f t="shared" si="1"/>
        <v>0</v>
      </c>
    </row>
    <row r="30" spans="1:6" ht="19.5" customHeight="1">
      <c r="A30" s="1152" t="s">
        <v>376</v>
      </c>
      <c r="B30" s="1153"/>
      <c r="C30" s="320"/>
      <c r="D30" s="1154"/>
      <c r="E30" s="1155"/>
      <c r="F30" s="402">
        <f t="shared" si="1"/>
        <v>0</v>
      </c>
    </row>
    <row r="31" spans="1:6" ht="19.5" customHeight="1">
      <c r="A31" s="1152" t="s">
        <v>380</v>
      </c>
      <c r="B31" s="1153"/>
      <c r="C31" s="320"/>
      <c r="D31" s="1154"/>
      <c r="E31" s="1155"/>
      <c r="F31" s="402">
        <f t="shared" si="1"/>
        <v>0</v>
      </c>
    </row>
    <row r="32" spans="1:6" ht="19.5" customHeight="1">
      <c r="A32" s="1152" t="s">
        <v>381</v>
      </c>
      <c r="B32" s="1153"/>
      <c r="C32" s="320"/>
      <c r="D32" s="1154"/>
      <c r="E32" s="1155"/>
      <c r="F32" s="402">
        <f t="shared" si="1"/>
        <v>0</v>
      </c>
    </row>
    <row r="33" spans="1:6" ht="19.5" customHeight="1">
      <c r="A33" s="1152" t="s">
        <v>382</v>
      </c>
      <c r="B33" s="1153"/>
      <c r="C33" s="320"/>
      <c r="D33" s="1154"/>
      <c r="E33" s="1155"/>
      <c r="F33" s="402">
        <f t="shared" si="1"/>
        <v>0</v>
      </c>
    </row>
    <row r="34" spans="1:6" ht="19.5" customHeight="1">
      <c r="A34" s="1152" t="s">
        <v>383</v>
      </c>
      <c r="B34" s="1153"/>
      <c r="C34" s="320"/>
      <c r="D34" s="1154"/>
      <c r="E34" s="1155"/>
      <c r="F34" s="402">
        <f t="shared" si="1"/>
        <v>0</v>
      </c>
    </row>
    <row r="35" spans="1:6" ht="19.5" customHeight="1">
      <c r="A35" s="1152" t="s">
        <v>384</v>
      </c>
      <c r="B35" s="1153"/>
      <c r="C35" s="320"/>
      <c r="D35" s="1154"/>
      <c r="E35" s="1155"/>
      <c r="F35" s="379">
        <f t="shared" si="1"/>
        <v>0</v>
      </c>
    </row>
    <row r="36" spans="1:6" ht="19.5" customHeight="1" thickBot="1">
      <c r="A36" s="1152" t="s">
        <v>385</v>
      </c>
      <c r="B36" s="1153"/>
      <c r="C36" s="401"/>
      <c r="D36" s="1161"/>
      <c r="E36" s="1162"/>
      <c r="F36" s="398">
        <f t="shared" si="1"/>
        <v>0</v>
      </c>
    </row>
    <row r="37" spans="1:6" ht="15" customHeight="1">
      <c r="A37" s="1116" t="s">
        <v>386</v>
      </c>
      <c r="B37" s="1194"/>
      <c r="C37" s="1096" t="s">
        <v>364</v>
      </c>
      <c r="D37" s="1087" t="s">
        <v>365</v>
      </c>
      <c r="E37" s="1080"/>
      <c r="F37" s="1096" t="s">
        <v>366</v>
      </c>
    </row>
    <row r="38" spans="1:6" ht="31.5" customHeight="1" thickBot="1">
      <c r="A38" s="1160" t="s">
        <v>387</v>
      </c>
      <c r="B38" s="1195"/>
      <c r="C38" s="1097"/>
      <c r="D38" s="1081"/>
      <c r="E38" s="1082"/>
      <c r="F38" s="1097"/>
    </row>
    <row r="39" spans="1:6" ht="18" customHeight="1">
      <c r="A39" s="1222" t="s">
        <v>379</v>
      </c>
      <c r="B39" s="1223"/>
      <c r="C39" s="403"/>
      <c r="D39" s="1197"/>
      <c r="E39" s="1198"/>
      <c r="F39" s="397">
        <f>IF($E$4&gt;0,D39/$E$4,0)</f>
        <v>0</v>
      </c>
    </row>
    <row r="40" spans="1:6" ht="18" customHeight="1">
      <c r="A40" s="1199" t="s">
        <v>369</v>
      </c>
      <c r="B40" s="1200"/>
      <c r="C40" s="404"/>
      <c r="D40" s="1145"/>
      <c r="E40" s="1146"/>
      <c r="F40" s="402">
        <f t="shared" ref="F40:F42" si="2">IF($E$4&gt;0,D40/$E$4,0)</f>
        <v>0</v>
      </c>
    </row>
    <row r="41" spans="1:6" ht="18" customHeight="1">
      <c r="A41" s="1199" t="s">
        <v>370</v>
      </c>
      <c r="B41" s="1200"/>
      <c r="C41" s="404"/>
      <c r="D41" s="1145"/>
      <c r="E41" s="1146"/>
      <c r="F41" s="402">
        <f t="shared" si="2"/>
        <v>0</v>
      </c>
    </row>
    <row r="42" spans="1:6" ht="18" customHeight="1">
      <c r="A42" s="1199" t="s">
        <v>371</v>
      </c>
      <c r="B42" s="1200"/>
      <c r="C42" s="404"/>
      <c r="D42" s="1145"/>
      <c r="E42" s="1146"/>
      <c r="F42" s="402">
        <f t="shared" si="2"/>
        <v>0</v>
      </c>
    </row>
    <row r="43" spans="1:6" ht="18" customHeight="1" thickBot="1">
      <c r="A43" s="1201" t="s">
        <v>375</v>
      </c>
      <c r="B43" s="1202"/>
      <c r="C43" s="405"/>
      <c r="D43" s="1145"/>
      <c r="E43" s="1146"/>
      <c r="F43" s="400">
        <f>IF($E$4&gt;0,D43/$E$4,0)</f>
        <v>0</v>
      </c>
    </row>
    <row r="44" spans="1:6" ht="16" thickBot="1">
      <c r="A44" s="1208"/>
      <c r="B44" s="1209"/>
      <c r="C44" s="1209"/>
      <c r="D44" s="1209"/>
      <c r="E44" s="1209"/>
      <c r="F44" s="1210"/>
    </row>
    <row r="45" spans="1:6" ht="22.5" customHeight="1" thickBot="1">
      <c r="A45" s="1203" t="s">
        <v>388</v>
      </c>
      <c r="B45" s="1204"/>
      <c r="C45" s="1205"/>
      <c r="D45" s="1163">
        <f>SUM(D11:E14)+SUM(D17:E22)+SUM(D25:E36)+SUM(D39:E43)</f>
        <v>0</v>
      </c>
      <c r="E45" s="1164"/>
      <c r="F45" s="400">
        <f>IF($E$4&gt;0,D45/$E$4,0)</f>
        <v>0</v>
      </c>
    </row>
    <row r="46" spans="1:6" ht="24.75" customHeight="1" thickBot="1">
      <c r="A46" s="1203" t="s">
        <v>389</v>
      </c>
      <c r="B46" s="1204"/>
      <c r="C46" s="1205"/>
      <c r="D46" s="1163">
        <f>E4-B5-D45</f>
        <v>0</v>
      </c>
      <c r="E46" s="1164"/>
      <c r="F46" s="406" t="s">
        <v>112</v>
      </c>
    </row>
    <row r="47" spans="1:6" ht="16" thickBot="1">
      <c r="A47" s="1196"/>
      <c r="B47" s="1196"/>
      <c r="C47" s="1196"/>
      <c r="D47" s="1196"/>
      <c r="E47" s="1196"/>
      <c r="F47" s="1196"/>
    </row>
    <row r="48" spans="1:6" s="479" customFormat="1" ht="18.75" customHeight="1" thickBot="1">
      <c r="A48" s="1022" t="s">
        <v>390</v>
      </c>
      <c r="B48" s="1023"/>
      <c r="C48" s="1023"/>
      <c r="D48" s="1023"/>
      <c r="E48" s="1023"/>
      <c r="F48" s="1024"/>
    </row>
    <row r="49" spans="1:6" ht="16" thickBot="1">
      <c r="A49" s="1203" t="s">
        <v>391</v>
      </c>
      <c r="B49" s="1204"/>
      <c r="C49" s="1204"/>
      <c r="D49" s="1204"/>
      <c r="E49" s="1204"/>
      <c r="F49" s="1205"/>
    </row>
    <row r="50" spans="1:6" ht="40.5" customHeight="1">
      <c r="A50" s="103" t="s">
        <v>392</v>
      </c>
      <c r="B50" s="1224" t="s">
        <v>393</v>
      </c>
      <c r="C50" s="1096" t="s">
        <v>394</v>
      </c>
      <c r="D50" s="1192" t="s">
        <v>395</v>
      </c>
      <c r="E50" s="1192"/>
      <c r="F50" s="1192" t="s">
        <v>396</v>
      </c>
    </row>
    <row r="51" spans="1:6" ht="40.5" customHeight="1" thickBot="1">
      <c r="A51" s="323" t="s">
        <v>397</v>
      </c>
      <c r="B51" s="1097"/>
      <c r="C51" s="1097"/>
      <c r="D51" s="1193"/>
      <c r="E51" s="1193"/>
      <c r="F51" s="1193"/>
    </row>
    <row r="52" spans="1:6" ht="25.5" customHeight="1">
      <c r="A52" s="407" t="str">
        <f>+A11</f>
        <v>1. (Example: CMAQ)</v>
      </c>
      <c r="B52" s="463" t="s">
        <v>52</v>
      </c>
      <c r="C52" s="324" t="s">
        <v>52</v>
      </c>
      <c r="D52" s="1169" t="s">
        <v>52</v>
      </c>
      <c r="E52" s="1169"/>
      <c r="F52" s="464" t="s">
        <v>52</v>
      </c>
    </row>
    <row r="53" spans="1:6" ht="25.5" customHeight="1">
      <c r="A53" s="408" t="str">
        <f>+A12</f>
        <v>2.</v>
      </c>
      <c r="B53" s="459" t="s">
        <v>52</v>
      </c>
      <c r="C53" s="325" t="s">
        <v>52</v>
      </c>
      <c r="D53" s="1170" t="s">
        <v>52</v>
      </c>
      <c r="E53" s="1170"/>
      <c r="F53" s="465" t="s">
        <v>52</v>
      </c>
    </row>
    <row r="54" spans="1:6" ht="25.5" customHeight="1">
      <c r="A54" s="408" t="str">
        <f>+A13</f>
        <v>3.</v>
      </c>
      <c r="B54" s="459" t="s">
        <v>52</v>
      </c>
      <c r="C54" s="325" t="s">
        <v>52</v>
      </c>
      <c r="D54" s="1170" t="s">
        <v>52</v>
      </c>
      <c r="E54" s="1170"/>
      <c r="F54" s="465" t="s">
        <v>52</v>
      </c>
    </row>
    <row r="55" spans="1:6" ht="25.5" customHeight="1" thickBot="1">
      <c r="A55" s="409" t="str">
        <f>+A14</f>
        <v>4.</v>
      </c>
      <c r="B55" s="467" t="s">
        <v>52</v>
      </c>
      <c r="C55" s="326" t="s">
        <v>52</v>
      </c>
      <c r="D55" s="1095" t="s">
        <v>52</v>
      </c>
      <c r="E55" s="1095"/>
      <c r="F55" s="458" t="s">
        <v>52</v>
      </c>
    </row>
    <row r="56" spans="1:6" ht="21" customHeight="1">
      <c r="A56" s="103" t="s">
        <v>398</v>
      </c>
      <c r="B56" s="1211" t="s">
        <v>399</v>
      </c>
      <c r="C56" s="1165" t="s">
        <v>400</v>
      </c>
      <c r="D56" s="1165" t="s">
        <v>401</v>
      </c>
      <c r="E56" s="1166"/>
      <c r="F56" s="1166" t="s">
        <v>402</v>
      </c>
    </row>
    <row r="57" spans="1:6" ht="38.15" customHeight="1" thickBot="1">
      <c r="A57" s="323" t="s">
        <v>397</v>
      </c>
      <c r="B57" s="1212"/>
      <c r="C57" s="1110"/>
      <c r="D57" s="1110"/>
      <c r="E57" s="1111"/>
      <c r="F57" s="1111"/>
    </row>
    <row r="58" spans="1:6" ht="23.25" customHeight="1">
      <c r="A58" s="407" t="str">
        <f>+A17</f>
        <v>1. (Example: State Transportation Fund)</v>
      </c>
      <c r="B58" s="463" t="s">
        <v>403</v>
      </c>
      <c r="C58" s="324" t="s">
        <v>403</v>
      </c>
      <c r="D58" s="1167" t="s">
        <v>403</v>
      </c>
      <c r="E58" s="1168"/>
      <c r="F58" s="463" t="s">
        <v>403</v>
      </c>
    </row>
    <row r="59" spans="1:6" ht="23.25" customHeight="1">
      <c r="A59" s="408" t="str">
        <f>+A18</f>
        <v>2.</v>
      </c>
      <c r="B59" s="459" t="s">
        <v>403</v>
      </c>
      <c r="C59" s="325" t="s">
        <v>403</v>
      </c>
      <c r="D59" s="1213" t="s">
        <v>403</v>
      </c>
      <c r="E59" s="1104"/>
      <c r="F59" s="459" t="s">
        <v>403</v>
      </c>
    </row>
    <row r="60" spans="1:6" ht="23.25" customHeight="1">
      <c r="A60" s="408" t="str">
        <f t="shared" ref="A60:A61" si="3">+A19</f>
        <v>3.</v>
      </c>
      <c r="B60" s="459" t="s">
        <v>403</v>
      </c>
      <c r="C60" s="325" t="s">
        <v>403</v>
      </c>
      <c r="D60" s="1213" t="s">
        <v>403</v>
      </c>
      <c r="E60" s="1104"/>
      <c r="F60" s="459" t="s">
        <v>403</v>
      </c>
    </row>
    <row r="61" spans="1:6" ht="23.25" customHeight="1">
      <c r="A61" s="408" t="str">
        <f t="shared" si="3"/>
        <v>4.</v>
      </c>
      <c r="B61" s="459" t="s">
        <v>403</v>
      </c>
      <c r="C61" s="325" t="s">
        <v>403</v>
      </c>
      <c r="D61" s="1213" t="s">
        <v>403</v>
      </c>
      <c r="E61" s="1104"/>
      <c r="F61" s="459" t="s">
        <v>403</v>
      </c>
    </row>
    <row r="62" spans="1:6" ht="23.25" customHeight="1">
      <c r="A62" s="408" t="str">
        <f>+A21</f>
        <v>5.</v>
      </c>
      <c r="B62" s="459" t="s">
        <v>403</v>
      </c>
      <c r="C62" s="325" t="s">
        <v>403</v>
      </c>
      <c r="D62" s="1213" t="s">
        <v>403</v>
      </c>
      <c r="E62" s="1104"/>
      <c r="F62" s="459" t="s">
        <v>403</v>
      </c>
    </row>
    <row r="63" spans="1:6" ht="23.25" customHeight="1" thickBot="1">
      <c r="A63" s="409" t="str">
        <f>+A22</f>
        <v>6.</v>
      </c>
      <c r="B63" s="459" t="s">
        <v>403</v>
      </c>
      <c r="C63" s="326" t="s">
        <v>403</v>
      </c>
      <c r="D63" s="1220" t="s">
        <v>403</v>
      </c>
      <c r="E63" s="1221"/>
      <c r="F63" s="459" t="s">
        <v>403</v>
      </c>
    </row>
    <row r="64" spans="1:6" ht="33.75" customHeight="1">
      <c r="A64" s="104" t="s">
        <v>404</v>
      </c>
      <c r="B64" s="1211" t="s">
        <v>405</v>
      </c>
      <c r="C64" s="1165" t="s">
        <v>406</v>
      </c>
      <c r="D64" s="1211" t="s">
        <v>407</v>
      </c>
      <c r="E64" s="1211"/>
      <c r="F64" s="1211" t="s">
        <v>408</v>
      </c>
    </row>
    <row r="65" spans="1:6" ht="35.9" customHeight="1" thickBot="1">
      <c r="A65" s="323" t="s">
        <v>397</v>
      </c>
      <c r="B65" s="1212"/>
      <c r="C65" s="1110"/>
      <c r="D65" s="1212"/>
      <c r="E65" s="1212"/>
      <c r="F65" s="1212"/>
    </row>
    <row r="66" spans="1:6" ht="26.25" customHeight="1">
      <c r="A66" s="407" t="str">
        <f>+A25</f>
        <v>1.</v>
      </c>
      <c r="B66" s="463" t="s">
        <v>403</v>
      </c>
      <c r="C66" s="324" t="s">
        <v>52</v>
      </c>
      <c r="D66" s="1169" t="s">
        <v>52</v>
      </c>
      <c r="E66" s="1169"/>
      <c r="F66" s="464" t="s">
        <v>52</v>
      </c>
    </row>
    <row r="67" spans="1:6" ht="26.25" customHeight="1">
      <c r="A67" s="408" t="str">
        <f>+A26</f>
        <v>2.</v>
      </c>
      <c r="B67" s="459" t="s">
        <v>403</v>
      </c>
      <c r="C67" s="325" t="s">
        <v>52</v>
      </c>
      <c r="D67" s="1170" t="s">
        <v>52</v>
      </c>
      <c r="E67" s="1170"/>
      <c r="F67" s="465" t="s">
        <v>52</v>
      </c>
    </row>
    <row r="68" spans="1:6" ht="26.25" customHeight="1">
      <c r="A68" s="408" t="str">
        <f t="shared" ref="A68:A77" si="4">+A27</f>
        <v>3.</v>
      </c>
      <c r="B68" s="459" t="s">
        <v>403</v>
      </c>
      <c r="C68" s="325" t="s">
        <v>52</v>
      </c>
      <c r="D68" s="1170" t="s">
        <v>52</v>
      </c>
      <c r="E68" s="1170"/>
      <c r="F68" s="465" t="s">
        <v>52</v>
      </c>
    </row>
    <row r="69" spans="1:6" ht="26.25" customHeight="1">
      <c r="A69" s="408" t="str">
        <f t="shared" si="4"/>
        <v>4.</v>
      </c>
      <c r="B69" s="459" t="s">
        <v>403</v>
      </c>
      <c r="C69" s="325" t="s">
        <v>52</v>
      </c>
      <c r="D69" s="1170" t="s">
        <v>52</v>
      </c>
      <c r="E69" s="1170"/>
      <c r="F69" s="465" t="s">
        <v>52</v>
      </c>
    </row>
    <row r="70" spans="1:6" ht="26.25" customHeight="1">
      <c r="A70" s="408" t="str">
        <f t="shared" si="4"/>
        <v>5.</v>
      </c>
      <c r="B70" s="459" t="s">
        <v>403</v>
      </c>
      <c r="C70" s="325" t="s">
        <v>52</v>
      </c>
      <c r="D70" s="1170" t="s">
        <v>52</v>
      </c>
      <c r="E70" s="1170"/>
      <c r="F70" s="465" t="s">
        <v>52</v>
      </c>
    </row>
    <row r="71" spans="1:6" ht="26.25" customHeight="1">
      <c r="A71" s="408" t="str">
        <f t="shared" si="4"/>
        <v>6.</v>
      </c>
      <c r="B71" s="459" t="s">
        <v>403</v>
      </c>
      <c r="C71" s="325" t="s">
        <v>52</v>
      </c>
      <c r="D71" s="1170" t="s">
        <v>52</v>
      </c>
      <c r="E71" s="1170"/>
      <c r="F71" s="465" t="s">
        <v>52</v>
      </c>
    </row>
    <row r="72" spans="1:6" ht="26.25" customHeight="1">
      <c r="A72" s="408" t="str">
        <f t="shared" si="4"/>
        <v>7.</v>
      </c>
      <c r="B72" s="459" t="s">
        <v>403</v>
      </c>
      <c r="C72" s="325" t="s">
        <v>52</v>
      </c>
      <c r="D72" s="1170" t="s">
        <v>52</v>
      </c>
      <c r="E72" s="1170"/>
      <c r="F72" s="465" t="s">
        <v>52</v>
      </c>
    </row>
    <row r="73" spans="1:6" ht="26.25" customHeight="1">
      <c r="A73" s="408" t="str">
        <f t="shared" si="4"/>
        <v>8.</v>
      </c>
      <c r="B73" s="459" t="s">
        <v>403</v>
      </c>
      <c r="C73" s="325" t="s">
        <v>52</v>
      </c>
      <c r="D73" s="1170" t="s">
        <v>52</v>
      </c>
      <c r="E73" s="1170"/>
      <c r="F73" s="465" t="s">
        <v>52</v>
      </c>
    </row>
    <row r="74" spans="1:6" ht="26.25" customHeight="1">
      <c r="A74" s="408" t="str">
        <f t="shared" si="4"/>
        <v>9.</v>
      </c>
      <c r="B74" s="459" t="s">
        <v>403</v>
      </c>
      <c r="C74" s="325" t="s">
        <v>52</v>
      </c>
      <c r="D74" s="1170" t="s">
        <v>52</v>
      </c>
      <c r="E74" s="1170"/>
      <c r="F74" s="465" t="s">
        <v>52</v>
      </c>
    </row>
    <row r="75" spans="1:6" ht="26.25" customHeight="1">
      <c r="A75" s="408" t="str">
        <f t="shared" si="4"/>
        <v>10.</v>
      </c>
      <c r="B75" s="459" t="s">
        <v>403</v>
      </c>
      <c r="C75" s="325" t="s">
        <v>52</v>
      </c>
      <c r="D75" s="1170" t="s">
        <v>52</v>
      </c>
      <c r="E75" s="1170"/>
      <c r="F75" s="465" t="s">
        <v>52</v>
      </c>
    </row>
    <row r="76" spans="1:6" ht="26.25" customHeight="1">
      <c r="A76" s="408" t="str">
        <f t="shared" si="4"/>
        <v>11.</v>
      </c>
      <c r="B76" s="459" t="s">
        <v>403</v>
      </c>
      <c r="C76" s="325" t="s">
        <v>52</v>
      </c>
      <c r="D76" s="1170" t="s">
        <v>52</v>
      </c>
      <c r="E76" s="1170"/>
      <c r="F76" s="465" t="s">
        <v>52</v>
      </c>
    </row>
    <row r="77" spans="1:6" ht="26.25" customHeight="1" thickBot="1">
      <c r="A77" s="408" t="str">
        <f t="shared" si="4"/>
        <v>12.</v>
      </c>
      <c r="B77" s="467" t="s">
        <v>403</v>
      </c>
      <c r="C77" s="326" t="s">
        <v>52</v>
      </c>
      <c r="D77" s="1095" t="s">
        <v>52</v>
      </c>
      <c r="E77" s="1095"/>
      <c r="F77" s="458" t="s">
        <v>52</v>
      </c>
    </row>
    <row r="78" spans="1:6" ht="33.75" customHeight="1">
      <c r="A78" s="104" t="s">
        <v>409</v>
      </c>
      <c r="B78" s="1096" t="s">
        <v>410</v>
      </c>
      <c r="C78" s="1096" t="s">
        <v>411</v>
      </c>
      <c r="D78" s="1096"/>
      <c r="E78" s="1096"/>
      <c r="F78" s="1096"/>
    </row>
    <row r="79" spans="1:6" ht="30.75" customHeight="1" thickBot="1">
      <c r="A79" s="323" t="s">
        <v>397</v>
      </c>
      <c r="B79" s="1097"/>
      <c r="C79" s="1097"/>
      <c r="D79" s="1097"/>
      <c r="E79" s="1097"/>
      <c r="F79" s="1097"/>
    </row>
    <row r="80" spans="1:6" ht="22.5" customHeight="1">
      <c r="A80" s="407" t="str">
        <f>+A39</f>
        <v>1.</v>
      </c>
      <c r="B80" s="464" t="s">
        <v>403</v>
      </c>
      <c r="C80" s="464" t="s">
        <v>403</v>
      </c>
      <c r="D80" s="1214"/>
      <c r="E80" s="1215"/>
      <c r="F80" s="327"/>
    </row>
    <row r="81" spans="1:6" ht="22.5" customHeight="1">
      <c r="A81" s="408" t="str">
        <f t="shared" ref="A81:A84" si="5">+A40</f>
        <v>2.</v>
      </c>
      <c r="B81" s="465" t="s">
        <v>403</v>
      </c>
      <c r="C81" s="465" t="s">
        <v>403</v>
      </c>
      <c r="D81" s="1216"/>
      <c r="E81" s="1217"/>
      <c r="F81" s="328"/>
    </row>
    <row r="82" spans="1:6" ht="22.5" customHeight="1">
      <c r="A82" s="408" t="str">
        <f t="shared" si="5"/>
        <v>3.</v>
      </c>
      <c r="B82" s="465" t="s">
        <v>403</v>
      </c>
      <c r="C82" s="465" t="s">
        <v>403</v>
      </c>
      <c r="D82" s="1216"/>
      <c r="E82" s="1217"/>
      <c r="F82" s="328"/>
    </row>
    <row r="83" spans="1:6" ht="22.5" customHeight="1">
      <c r="A83" s="408" t="str">
        <f t="shared" si="5"/>
        <v>4.</v>
      </c>
      <c r="B83" s="465" t="s">
        <v>403</v>
      </c>
      <c r="C83" s="465" t="s">
        <v>403</v>
      </c>
      <c r="D83" s="1216"/>
      <c r="E83" s="1217"/>
      <c r="F83" s="328"/>
    </row>
    <row r="84" spans="1:6" ht="22.5" customHeight="1" thickBot="1">
      <c r="A84" s="409" t="str">
        <f t="shared" si="5"/>
        <v>5.</v>
      </c>
      <c r="B84" s="458" t="s">
        <v>403</v>
      </c>
      <c r="C84" s="458" t="s">
        <v>403</v>
      </c>
      <c r="D84" s="1218"/>
      <c r="E84" s="1219"/>
      <c r="F84" s="329"/>
    </row>
    <row r="85" spans="1:6" ht="16" thickBot="1">
      <c r="A85" s="410"/>
      <c r="B85" s="410"/>
      <c r="C85" s="410"/>
      <c r="D85" s="410"/>
      <c r="E85" s="410"/>
      <c r="F85" s="410"/>
    </row>
    <row r="86" spans="1:6" s="479" customFormat="1" ht="18.75" customHeight="1" thickBot="1">
      <c r="A86" s="1022" t="s">
        <v>412</v>
      </c>
      <c r="B86" s="1023"/>
      <c r="C86" s="1023"/>
      <c r="D86" s="1023"/>
      <c r="E86" s="1023"/>
      <c r="F86" s="1206"/>
    </row>
    <row r="87" spans="1:6" ht="16" thickBot="1">
      <c r="A87" s="1203" t="s">
        <v>391</v>
      </c>
      <c r="B87" s="1204"/>
      <c r="C87" s="1204"/>
      <c r="D87" s="1204"/>
      <c r="E87" s="1204"/>
      <c r="F87" s="1207"/>
    </row>
    <row r="88" spans="1:6" ht="26.25" customHeight="1">
      <c r="A88" s="103" t="s">
        <v>392</v>
      </c>
      <c r="B88" s="1224" t="s">
        <v>413</v>
      </c>
      <c r="C88" s="1087" t="s">
        <v>414</v>
      </c>
      <c r="D88" s="1088"/>
      <c r="E88" s="1091" t="s">
        <v>415</v>
      </c>
      <c r="F88" s="1092"/>
    </row>
    <row r="89" spans="1:6" ht="29.25" customHeight="1" thickBot="1">
      <c r="A89" s="323" t="s">
        <v>397</v>
      </c>
      <c r="B89" s="1225"/>
      <c r="C89" s="1089"/>
      <c r="D89" s="1090"/>
      <c r="E89" s="1093"/>
      <c r="F89" s="1094"/>
    </row>
    <row r="90" spans="1:6" ht="24.75" customHeight="1">
      <c r="A90" s="407" t="str">
        <f>+A11</f>
        <v>1. (Example: CMAQ)</v>
      </c>
      <c r="B90" s="411"/>
      <c r="C90" s="1073"/>
      <c r="D90" s="1074"/>
      <c r="E90" s="1073" t="s">
        <v>416</v>
      </c>
      <c r="F90" s="1074"/>
    </row>
    <row r="91" spans="1:6" ht="21" customHeight="1">
      <c r="A91" s="408" t="str">
        <f t="shared" ref="A91:A93" si="6">+A12</f>
        <v>2.</v>
      </c>
      <c r="B91" s="412"/>
      <c r="C91" s="1075"/>
      <c r="D91" s="1076"/>
      <c r="E91" s="1075"/>
      <c r="F91" s="1076"/>
    </row>
    <row r="92" spans="1:6" ht="21" customHeight="1">
      <c r="A92" s="408" t="str">
        <f t="shared" si="6"/>
        <v>3.</v>
      </c>
      <c r="B92" s="412"/>
      <c r="C92" s="1075"/>
      <c r="D92" s="1076"/>
      <c r="E92" s="1075"/>
      <c r="F92" s="1076"/>
    </row>
    <row r="93" spans="1:6" ht="21" customHeight="1" thickBot="1">
      <c r="A93" s="409" t="str">
        <f t="shared" si="6"/>
        <v>4.</v>
      </c>
      <c r="B93" s="413"/>
      <c r="C93" s="1077"/>
      <c r="D93" s="1078"/>
      <c r="E93" s="1077"/>
      <c r="F93" s="1078"/>
    </row>
    <row r="94" spans="1:6" ht="28.5" customHeight="1">
      <c r="A94" s="103" t="s">
        <v>398</v>
      </c>
      <c r="B94" s="1096" t="s">
        <v>413</v>
      </c>
      <c r="C94" s="1079" t="s">
        <v>414</v>
      </c>
      <c r="D94" s="1080"/>
      <c r="E94" s="1079" t="s">
        <v>415</v>
      </c>
      <c r="F94" s="1080"/>
    </row>
    <row r="95" spans="1:6" ht="29.25" customHeight="1" thickBot="1">
      <c r="A95" s="323" t="s">
        <v>397</v>
      </c>
      <c r="B95" s="1097"/>
      <c r="C95" s="1081"/>
      <c r="D95" s="1082"/>
      <c r="E95" s="1081"/>
      <c r="F95" s="1082"/>
    </row>
    <row r="96" spans="1:6" ht="46.5" customHeight="1">
      <c r="A96" s="407" t="str">
        <f>+A17</f>
        <v>1. (Example: State Transportation Fund)</v>
      </c>
      <c r="B96" s="411"/>
      <c r="C96" s="1073"/>
      <c r="D96" s="1074"/>
      <c r="E96" s="1073" t="s">
        <v>417</v>
      </c>
      <c r="F96" s="1074"/>
    </row>
    <row r="97" spans="1:6" ht="23.25" customHeight="1">
      <c r="A97" s="408" t="str">
        <f t="shared" ref="A97:A101" si="7">+A18</f>
        <v>2.</v>
      </c>
      <c r="B97" s="412"/>
      <c r="C97" s="1075"/>
      <c r="D97" s="1076"/>
      <c r="E97" s="1075"/>
      <c r="F97" s="1076"/>
    </row>
    <row r="98" spans="1:6" ht="23.25" customHeight="1">
      <c r="A98" s="408" t="str">
        <f t="shared" si="7"/>
        <v>3.</v>
      </c>
      <c r="B98" s="412"/>
      <c r="C98" s="1075"/>
      <c r="D98" s="1076"/>
      <c r="E98" s="1075"/>
      <c r="F98" s="1076"/>
    </row>
    <row r="99" spans="1:6" ht="23.25" customHeight="1">
      <c r="A99" s="408" t="str">
        <f t="shared" si="7"/>
        <v>4.</v>
      </c>
      <c r="B99" s="412"/>
      <c r="C99" s="1075"/>
      <c r="D99" s="1076"/>
      <c r="E99" s="1075"/>
      <c r="F99" s="1076"/>
    </row>
    <row r="100" spans="1:6" ht="23.25" customHeight="1">
      <c r="A100" s="408" t="str">
        <f t="shared" si="7"/>
        <v>5.</v>
      </c>
      <c r="B100" s="412"/>
      <c r="C100" s="1075"/>
      <c r="D100" s="1076"/>
      <c r="E100" s="1075"/>
      <c r="F100" s="1076"/>
    </row>
    <row r="101" spans="1:6" ht="23.25" customHeight="1" thickBot="1">
      <c r="A101" s="409" t="str">
        <f t="shared" si="7"/>
        <v>6.</v>
      </c>
      <c r="B101" s="413"/>
      <c r="C101" s="1077"/>
      <c r="D101" s="1078"/>
      <c r="E101" s="1077"/>
      <c r="F101" s="1078"/>
    </row>
    <row r="102" spans="1:6" ht="30.75" customHeight="1">
      <c r="A102" s="104" t="s">
        <v>404</v>
      </c>
      <c r="B102" s="1096" t="s">
        <v>413</v>
      </c>
      <c r="C102" s="1079" t="s">
        <v>414</v>
      </c>
      <c r="D102" s="1080"/>
      <c r="E102" s="1079" t="s">
        <v>415</v>
      </c>
      <c r="F102" s="1080"/>
    </row>
    <row r="103" spans="1:6" ht="27" customHeight="1" thickBot="1">
      <c r="A103" s="323" t="s">
        <v>397</v>
      </c>
      <c r="B103" s="1097"/>
      <c r="C103" s="1081"/>
      <c r="D103" s="1082"/>
      <c r="E103" s="1081"/>
      <c r="F103" s="1082"/>
    </row>
    <row r="104" spans="1:6" ht="55.4" customHeight="1">
      <c r="A104" s="414" t="str">
        <f>+A25</f>
        <v>1.</v>
      </c>
      <c r="B104" s="411"/>
      <c r="C104" s="1073"/>
      <c r="D104" s="1074"/>
      <c r="E104" s="1073" t="s">
        <v>418</v>
      </c>
      <c r="F104" s="1074"/>
    </row>
    <row r="105" spans="1:6" ht="26.25" customHeight="1">
      <c r="A105" s="408" t="str">
        <f t="shared" ref="A105:A115" si="8">+A26</f>
        <v>2.</v>
      </c>
      <c r="B105" s="412"/>
      <c r="C105" s="1075"/>
      <c r="D105" s="1076"/>
      <c r="E105" s="1075"/>
      <c r="F105" s="1076"/>
    </row>
    <row r="106" spans="1:6" ht="26.25" customHeight="1">
      <c r="A106" s="408" t="str">
        <f t="shared" si="8"/>
        <v>3.</v>
      </c>
      <c r="B106" s="412"/>
      <c r="C106" s="1075"/>
      <c r="D106" s="1076"/>
      <c r="E106" s="1075"/>
      <c r="F106" s="1076"/>
    </row>
    <row r="107" spans="1:6" ht="26.25" customHeight="1">
      <c r="A107" s="408" t="str">
        <f t="shared" si="8"/>
        <v>4.</v>
      </c>
      <c r="B107" s="412"/>
      <c r="C107" s="1075"/>
      <c r="D107" s="1076"/>
      <c r="E107" s="1075"/>
      <c r="F107" s="1076"/>
    </row>
    <row r="108" spans="1:6" ht="26.25" customHeight="1">
      <c r="A108" s="408" t="str">
        <f t="shared" si="8"/>
        <v>5.</v>
      </c>
      <c r="B108" s="412"/>
      <c r="C108" s="1075"/>
      <c r="D108" s="1076"/>
      <c r="E108" s="1075"/>
      <c r="F108" s="1076"/>
    </row>
    <row r="109" spans="1:6" ht="26.25" customHeight="1">
      <c r="A109" s="408" t="str">
        <f t="shared" si="8"/>
        <v>6.</v>
      </c>
      <c r="B109" s="412"/>
      <c r="C109" s="1075"/>
      <c r="D109" s="1076"/>
      <c r="E109" s="1075"/>
      <c r="F109" s="1076"/>
    </row>
    <row r="110" spans="1:6" ht="26.25" customHeight="1">
      <c r="A110" s="408" t="str">
        <f t="shared" si="8"/>
        <v>7.</v>
      </c>
      <c r="B110" s="412"/>
      <c r="C110" s="1075"/>
      <c r="D110" s="1076"/>
      <c r="E110" s="1075"/>
      <c r="F110" s="1076"/>
    </row>
    <row r="111" spans="1:6" ht="26.25" customHeight="1">
      <c r="A111" s="408" t="str">
        <f t="shared" si="8"/>
        <v>8.</v>
      </c>
      <c r="B111" s="412"/>
      <c r="C111" s="1075"/>
      <c r="D111" s="1076"/>
      <c r="E111" s="1075"/>
      <c r="F111" s="1076"/>
    </row>
    <row r="112" spans="1:6" ht="26.25" customHeight="1">
      <c r="A112" s="408" t="str">
        <f t="shared" si="8"/>
        <v>9.</v>
      </c>
      <c r="B112" s="412"/>
      <c r="C112" s="1075"/>
      <c r="D112" s="1076"/>
      <c r="E112" s="1075"/>
      <c r="F112" s="1076"/>
    </row>
    <row r="113" spans="1:6" ht="26.25" customHeight="1">
      <c r="A113" s="408" t="str">
        <f t="shared" si="8"/>
        <v>10.</v>
      </c>
      <c r="B113" s="412"/>
      <c r="C113" s="1075"/>
      <c r="D113" s="1076"/>
      <c r="E113" s="1075"/>
      <c r="F113" s="1076"/>
    </row>
    <row r="114" spans="1:6" ht="26.25" customHeight="1">
      <c r="A114" s="408" t="str">
        <f t="shared" si="8"/>
        <v>11.</v>
      </c>
      <c r="B114" s="412"/>
      <c r="C114" s="1075"/>
      <c r="D114" s="1076"/>
      <c r="E114" s="1075"/>
      <c r="F114" s="1076"/>
    </row>
    <row r="115" spans="1:6" ht="26.25" customHeight="1" thickBot="1">
      <c r="A115" s="408" t="str">
        <f t="shared" si="8"/>
        <v>12.</v>
      </c>
      <c r="B115" s="413"/>
      <c r="C115" s="1077"/>
      <c r="D115" s="1078"/>
      <c r="E115" s="1077"/>
      <c r="F115" s="1078"/>
    </row>
    <row r="116" spans="1:6" ht="26.25" customHeight="1">
      <c r="A116" s="104" t="s">
        <v>409</v>
      </c>
      <c r="B116" s="1096" t="s">
        <v>419</v>
      </c>
      <c r="C116" s="1079" t="s">
        <v>414</v>
      </c>
      <c r="D116" s="1080"/>
      <c r="E116" s="1079" t="s">
        <v>420</v>
      </c>
      <c r="F116" s="1080"/>
    </row>
    <row r="117" spans="1:6" ht="28.5" customHeight="1" thickBot="1">
      <c r="A117" s="323" t="s">
        <v>397</v>
      </c>
      <c r="B117" s="1097"/>
      <c r="C117" s="1081"/>
      <c r="D117" s="1082"/>
      <c r="E117" s="1081"/>
      <c r="F117" s="1082"/>
    </row>
    <row r="118" spans="1:6" ht="30" customHeight="1">
      <c r="A118" s="414" t="str">
        <f>+A39</f>
        <v>1.</v>
      </c>
      <c r="B118" s="411"/>
      <c r="C118" s="1073"/>
      <c r="D118" s="1074"/>
      <c r="E118" s="1073" t="s">
        <v>421</v>
      </c>
      <c r="F118" s="1074"/>
    </row>
    <row r="119" spans="1:6" ht="22.5" customHeight="1">
      <c r="A119" s="408" t="str">
        <f t="shared" ref="A119:A122" si="9">+A40</f>
        <v>2.</v>
      </c>
      <c r="B119" s="412"/>
      <c r="C119" s="1075"/>
      <c r="D119" s="1076"/>
      <c r="E119" s="1075"/>
      <c r="F119" s="1076"/>
    </row>
    <row r="120" spans="1:6" ht="22.5" customHeight="1">
      <c r="A120" s="408" t="str">
        <f t="shared" si="9"/>
        <v>3.</v>
      </c>
      <c r="B120" s="412"/>
      <c r="C120" s="1075"/>
      <c r="D120" s="1076"/>
      <c r="E120" s="1075"/>
      <c r="F120" s="1076"/>
    </row>
    <row r="121" spans="1:6" ht="22.5" customHeight="1">
      <c r="A121" s="408" t="str">
        <f t="shared" si="9"/>
        <v>4.</v>
      </c>
      <c r="B121" s="412"/>
      <c r="C121" s="1075"/>
      <c r="D121" s="1076"/>
      <c r="E121" s="1075"/>
      <c r="F121" s="1076"/>
    </row>
    <row r="122" spans="1:6" ht="22.5" customHeight="1" thickBot="1">
      <c r="A122" s="409" t="str">
        <f t="shared" si="9"/>
        <v>5.</v>
      </c>
      <c r="B122" s="413"/>
      <c r="C122" s="1077"/>
      <c r="D122" s="1078"/>
      <c r="E122" s="1077"/>
      <c r="F122" s="1078"/>
    </row>
    <row r="123" spans="1:6" ht="12" customHeight="1">
      <c r="A123" s="511"/>
      <c r="B123" s="511"/>
      <c r="C123" s="511"/>
      <c r="D123" s="511"/>
      <c r="E123" s="511"/>
      <c r="F123" s="511"/>
    </row>
    <row r="124" spans="1:6">
      <c r="A124" s="105" t="s">
        <v>422</v>
      </c>
      <c r="B124" s="410"/>
      <c r="C124" s="410"/>
      <c r="D124" s="410"/>
      <c r="E124" s="410"/>
      <c r="F124" s="410"/>
    </row>
    <row r="125" spans="1:6" ht="57" customHeight="1">
      <c r="A125" s="1085" t="s">
        <v>423</v>
      </c>
      <c r="B125" s="1086"/>
      <c r="C125" s="1086"/>
      <c r="D125" s="1086"/>
      <c r="E125" s="1086"/>
      <c r="F125" s="1086"/>
    </row>
    <row r="126" spans="1:6" ht="53.15" customHeight="1">
      <c r="A126" s="1085" t="s">
        <v>424</v>
      </c>
      <c r="B126" s="1086"/>
      <c r="C126" s="1086"/>
      <c r="D126" s="1086"/>
      <c r="E126" s="1086"/>
      <c r="F126" s="1086"/>
    </row>
    <row r="127" spans="1:6" ht="31.5" customHeight="1">
      <c r="A127" s="1070" t="s">
        <v>425</v>
      </c>
      <c r="B127" s="1083"/>
      <c r="C127" s="1083"/>
      <c r="D127" s="1083"/>
      <c r="E127" s="1083"/>
      <c r="F127" s="1083"/>
    </row>
    <row r="128" spans="1:6" ht="37.5" customHeight="1">
      <c r="A128" s="1069" t="s">
        <v>426</v>
      </c>
      <c r="B128" s="1070"/>
      <c r="C128" s="1070"/>
      <c r="D128" s="1070"/>
      <c r="E128" s="1070"/>
      <c r="F128" s="1070"/>
    </row>
    <row r="129" spans="1:6" ht="18" customHeight="1">
      <c r="A129" s="1070" t="s">
        <v>427</v>
      </c>
      <c r="B129" s="1070"/>
      <c r="C129" s="1070"/>
      <c r="D129" s="1070"/>
      <c r="E129" s="1070"/>
      <c r="F129" s="1070"/>
    </row>
    <row r="130" spans="1:6" ht="10.5" customHeight="1" thickBot="1">
      <c r="A130" s="1084"/>
      <c r="B130" s="1084"/>
      <c r="C130" s="1084"/>
      <c r="D130" s="1084"/>
      <c r="E130" s="1084"/>
      <c r="F130" s="1084"/>
    </row>
    <row r="131" spans="1:6" s="479" customFormat="1" ht="18.5" thickBot="1">
      <c r="A131" s="1022" t="s">
        <v>428</v>
      </c>
      <c r="B131" s="1023"/>
      <c r="C131" s="1023"/>
      <c r="D131" s="1023"/>
      <c r="E131" s="1023"/>
      <c r="F131" s="1024"/>
    </row>
    <row r="132" spans="1:6" s="512" customFormat="1" ht="15.75" customHeight="1">
      <c r="A132" s="1137" t="s">
        <v>429</v>
      </c>
      <c r="B132" s="1138"/>
      <c r="C132" s="1138"/>
      <c r="D132" s="1138"/>
      <c r="E132" s="1138"/>
      <c r="F132" s="1139"/>
    </row>
    <row r="133" spans="1:6" s="512" customFormat="1" ht="29.15" customHeight="1" thickBot="1">
      <c r="A133" s="1140" t="s">
        <v>430</v>
      </c>
      <c r="B133" s="1141"/>
      <c r="C133" s="1141"/>
      <c r="D133" s="1141"/>
      <c r="E133" s="1141"/>
      <c r="F133" s="1142"/>
    </row>
    <row r="134" spans="1:6" s="512" customFormat="1" ht="45" customHeight="1" thickBot="1">
      <c r="A134" s="106" t="s">
        <v>431</v>
      </c>
      <c r="B134" s="330" t="s">
        <v>432</v>
      </c>
      <c r="C134" s="454" t="s">
        <v>433</v>
      </c>
      <c r="D134" s="1071" t="s">
        <v>434</v>
      </c>
      <c r="E134" s="1072"/>
      <c r="F134" s="454" t="s">
        <v>435</v>
      </c>
    </row>
    <row r="135" spans="1:6" s="512" customFormat="1" ht="19.5" customHeight="1">
      <c r="A135" s="415"/>
      <c r="B135" s="416"/>
      <c r="C135" s="455"/>
      <c r="D135" s="1073"/>
      <c r="E135" s="1074"/>
      <c r="F135" s="455"/>
    </row>
    <row r="136" spans="1:6" s="512" customFormat="1" ht="19.5" customHeight="1">
      <c r="A136" s="417"/>
      <c r="B136" s="418"/>
      <c r="C136" s="456"/>
      <c r="D136" s="1075"/>
      <c r="E136" s="1076"/>
      <c r="F136" s="456"/>
    </row>
    <row r="137" spans="1:6" s="512" customFormat="1" ht="19.5" customHeight="1" thickBot="1">
      <c r="A137" s="419"/>
      <c r="B137" s="420"/>
      <c r="C137" s="457"/>
      <c r="D137" s="1077"/>
      <c r="E137" s="1078"/>
      <c r="F137" s="457"/>
    </row>
    <row r="138" spans="1:6" s="512" customFormat="1" ht="18.75" customHeight="1" thickBot="1">
      <c r="A138" s="1105"/>
      <c r="B138" s="1106"/>
      <c r="C138" s="1106"/>
      <c r="D138" s="1106"/>
      <c r="E138" s="1106"/>
      <c r="F138" s="1107"/>
    </row>
    <row r="139" spans="1:6" s="512" customFormat="1" ht="18.75" customHeight="1" thickBot="1">
      <c r="A139" s="1071" t="s">
        <v>436</v>
      </c>
      <c r="B139" s="1120"/>
      <c r="C139" s="1120"/>
      <c r="D139" s="1120"/>
      <c r="E139" s="1120"/>
      <c r="F139" s="1072"/>
    </row>
    <row r="140" spans="1:6" s="512" customFormat="1" ht="46.4" customHeight="1" thickBot="1">
      <c r="A140" s="107" t="s">
        <v>437</v>
      </c>
      <c r="B140" s="421"/>
      <c r="C140" s="1135" t="s">
        <v>438</v>
      </c>
      <c r="D140" s="1136"/>
      <c r="E140" s="1143"/>
      <c r="F140" s="1144"/>
    </row>
    <row r="141" spans="1:6" s="512" customFormat="1" ht="59.15" customHeight="1" thickBot="1">
      <c r="A141" s="108" t="s">
        <v>439</v>
      </c>
      <c r="B141" s="603" t="s">
        <v>440</v>
      </c>
      <c r="C141" s="454" t="s">
        <v>441</v>
      </c>
      <c r="D141" s="454" t="s">
        <v>442</v>
      </c>
      <c r="E141" s="1110" t="s">
        <v>443</v>
      </c>
      <c r="F141" s="1111"/>
    </row>
    <row r="142" spans="1:6" s="512" customFormat="1" ht="18.75" customHeight="1">
      <c r="A142" s="619" t="s">
        <v>444</v>
      </c>
      <c r="B142" s="462"/>
      <c r="C142" s="516" t="s">
        <v>112</v>
      </c>
      <c r="D142" s="516" t="s">
        <v>112</v>
      </c>
      <c r="E142" s="1112" t="s">
        <v>112</v>
      </c>
      <c r="F142" s="1113"/>
    </row>
    <row r="143" spans="1:6" s="512" customFormat="1" ht="18.75" customHeight="1">
      <c r="A143" s="320" t="s">
        <v>445</v>
      </c>
      <c r="B143" s="576"/>
      <c r="C143" s="575"/>
      <c r="D143" s="575"/>
      <c r="E143" s="1114"/>
      <c r="F143" s="1115"/>
    </row>
    <row r="144" spans="1:6" s="512" customFormat="1" ht="18.75" customHeight="1">
      <c r="A144" s="320" t="s">
        <v>446</v>
      </c>
      <c r="B144" s="576"/>
      <c r="C144" s="575"/>
      <c r="D144" s="575"/>
      <c r="E144" s="1114"/>
      <c r="F144" s="1115"/>
    </row>
    <row r="145" spans="1:6" s="512" customFormat="1" ht="18.75" customHeight="1">
      <c r="A145" s="320" t="s">
        <v>447</v>
      </c>
      <c r="B145" s="576"/>
      <c r="C145" s="575"/>
      <c r="D145" s="575"/>
      <c r="E145" s="1114"/>
      <c r="F145" s="1115"/>
    </row>
    <row r="146" spans="1:6" s="512" customFormat="1" ht="18.75" customHeight="1">
      <c r="A146" s="320" t="s">
        <v>448</v>
      </c>
      <c r="B146" s="576"/>
      <c r="C146" s="575"/>
      <c r="D146" s="575"/>
      <c r="E146" s="1114"/>
      <c r="F146" s="1115"/>
    </row>
    <row r="147" spans="1:6" s="512" customFormat="1" ht="18.75" customHeight="1">
      <c r="A147" s="320" t="s">
        <v>449</v>
      </c>
      <c r="B147" s="576"/>
      <c r="C147" s="575"/>
      <c r="D147" s="575"/>
      <c r="E147" s="1114"/>
      <c r="F147" s="1115"/>
    </row>
    <row r="148" spans="1:6" s="512" customFormat="1" ht="18.75" customHeight="1">
      <c r="A148" s="320" t="s">
        <v>450</v>
      </c>
      <c r="B148" s="576"/>
      <c r="C148" s="575"/>
      <c r="D148" s="575"/>
      <c r="E148" s="1114"/>
      <c r="F148" s="1115"/>
    </row>
    <row r="149" spans="1:6" s="512" customFormat="1" ht="18.75" customHeight="1">
      <c r="A149" s="577" t="s">
        <v>451</v>
      </c>
      <c r="B149" s="422"/>
      <c r="C149" s="423"/>
      <c r="D149" s="575"/>
      <c r="E149" s="1114"/>
      <c r="F149" s="1115"/>
    </row>
    <row r="150" spans="1:6" s="512" customFormat="1" ht="18.75" customHeight="1" thickBot="1">
      <c r="A150" s="578" t="s">
        <v>452</v>
      </c>
      <c r="B150" s="424"/>
      <c r="C150" s="425"/>
      <c r="D150" s="423"/>
      <c r="E150" s="1123"/>
      <c r="F150" s="1124"/>
    </row>
    <row r="151" spans="1:6" s="512" customFormat="1" ht="13.5" thickTop="1" thickBot="1">
      <c r="A151" s="360" t="s">
        <v>453</v>
      </c>
      <c r="B151" s="426">
        <f>SUM(B142:B150)</f>
        <v>0</v>
      </c>
      <c r="C151" s="461"/>
      <c r="D151" s="517"/>
      <c r="E151" s="1121"/>
      <c r="F151" s="1122"/>
    </row>
    <row r="152" spans="1:6" s="512" customFormat="1" ht="18.75" customHeight="1" thickBot="1">
      <c r="A152" s="1105"/>
      <c r="B152" s="1106"/>
      <c r="C152" s="1106"/>
      <c r="D152" s="1106"/>
      <c r="E152" s="1106"/>
      <c r="F152" s="1107"/>
    </row>
    <row r="153" spans="1:6" s="512" customFormat="1" ht="21.75" customHeight="1" thickBot="1">
      <c r="A153" s="1071" t="s">
        <v>454</v>
      </c>
      <c r="B153" s="1120"/>
      <c r="C153" s="1120"/>
      <c r="D153" s="1120"/>
      <c r="E153" s="1120"/>
      <c r="F153" s="1072"/>
    </row>
    <row r="154" spans="1:6" s="512" customFormat="1" ht="12.75" customHeight="1">
      <c r="A154" s="460" t="s">
        <v>455</v>
      </c>
      <c r="B154" s="1096" t="s">
        <v>456</v>
      </c>
      <c r="C154" s="1116" t="s">
        <v>457</v>
      </c>
      <c r="D154" s="1117"/>
      <c r="E154" s="1108" t="s">
        <v>458</v>
      </c>
      <c r="F154" s="1080"/>
    </row>
    <row r="155" spans="1:6" s="512" customFormat="1" ht="42" customHeight="1" thickBot="1">
      <c r="A155" s="427" t="s">
        <v>459</v>
      </c>
      <c r="B155" s="1097"/>
      <c r="C155" s="1118"/>
      <c r="D155" s="1119"/>
      <c r="E155" s="1109"/>
      <c r="F155" s="1082"/>
    </row>
    <row r="156" spans="1:6" s="512" customFormat="1" ht="21" customHeight="1">
      <c r="A156" s="444" t="s">
        <v>460</v>
      </c>
      <c r="B156" s="332"/>
      <c r="C156" s="816" t="s">
        <v>460</v>
      </c>
      <c r="D156" s="1098"/>
      <c r="E156" s="1101"/>
      <c r="F156" s="1102"/>
    </row>
    <row r="157" spans="1:6" s="512" customFormat="1" ht="21" customHeight="1">
      <c r="A157" s="317" t="s">
        <v>461</v>
      </c>
      <c r="B157" s="465"/>
      <c r="C157" s="1099" t="s">
        <v>461</v>
      </c>
      <c r="D157" s="1100"/>
      <c r="E157" s="1103"/>
      <c r="F157" s="1104"/>
    </row>
    <row r="158" spans="1:6" s="512" customFormat="1" ht="21" customHeight="1">
      <c r="A158" s="318" t="s">
        <v>462</v>
      </c>
      <c r="B158" s="465"/>
      <c r="C158" s="1099" t="s">
        <v>463</v>
      </c>
      <c r="D158" s="1100"/>
      <c r="E158" s="1103"/>
      <c r="F158" s="1104"/>
    </row>
    <row r="159" spans="1:6" s="512" customFormat="1" ht="21" customHeight="1">
      <c r="A159" s="317" t="s">
        <v>464</v>
      </c>
      <c r="B159" s="428"/>
      <c r="C159" s="1099" t="s">
        <v>464</v>
      </c>
      <c r="D159" s="1100"/>
      <c r="E159" s="1127"/>
      <c r="F159" s="1128"/>
    </row>
    <row r="160" spans="1:6" s="512" customFormat="1" ht="21" customHeight="1">
      <c r="A160" s="317" t="s">
        <v>465</v>
      </c>
      <c r="B160" s="465"/>
      <c r="C160" s="1099"/>
      <c r="D160" s="1100"/>
      <c r="E160" s="1131"/>
      <c r="F160" s="1132"/>
    </row>
    <row r="161" spans="1:9" s="512" customFormat="1" ht="21" customHeight="1">
      <c r="A161" s="317" t="s">
        <v>466</v>
      </c>
      <c r="B161" s="465"/>
      <c r="C161" s="1099"/>
      <c r="D161" s="1100"/>
      <c r="E161" s="1131"/>
      <c r="F161" s="1132"/>
      <c r="G161" s="410"/>
      <c r="H161" s="410"/>
      <c r="I161" s="513"/>
    </row>
    <row r="162" spans="1:9" s="512" customFormat="1" ht="21" customHeight="1">
      <c r="A162" s="317" t="s">
        <v>467</v>
      </c>
      <c r="B162" s="429"/>
      <c r="C162" s="1099" t="s">
        <v>468</v>
      </c>
      <c r="D162" s="1100"/>
      <c r="E162" s="1133"/>
      <c r="F162" s="1134"/>
      <c r="G162" s="410"/>
      <c r="H162" s="410"/>
      <c r="I162" s="410"/>
    </row>
    <row r="163" spans="1:9" s="512" customFormat="1" ht="21" customHeight="1" thickBot="1">
      <c r="A163" s="319" t="s">
        <v>469</v>
      </c>
      <c r="B163" s="430"/>
      <c r="C163" s="1125" t="s">
        <v>470</v>
      </c>
      <c r="D163" s="1126"/>
      <c r="E163" s="1129"/>
      <c r="F163" s="1130"/>
      <c r="G163" s="410"/>
      <c r="H163" s="410"/>
      <c r="I163" s="410"/>
    </row>
    <row r="164" spans="1:9" s="512" customFormat="1" ht="13.5" customHeight="1">
      <c r="A164" s="321"/>
      <c r="B164" s="514"/>
      <c r="C164" s="322"/>
      <c r="D164" s="322"/>
      <c r="E164" s="514"/>
      <c r="F164" s="514"/>
      <c r="G164" s="410"/>
      <c r="H164" s="410"/>
      <c r="I164" s="410"/>
    </row>
    <row r="165" spans="1:9">
      <c r="A165" s="515"/>
    </row>
  </sheetData>
  <sheetProtection algorithmName="SHA-512" hashValue="wFtjaNxkmX978SwfeaX1wgbXHl+as+21FSJ7GpaVB7PYFBPvXhtgdeEMibDhM4Ri3XAIJo5mZe6wUWg2Gmh/ZA==" saltValue="m28YFTtLlaqJBjNLO1ttpw==" spinCount="100000" sheet="1" formatCells="0" formatColumns="0" formatRows="0" insertColumns="0" insertRows="0" insertHyperlinks="0" selectLockedCells="1"/>
  <customSheetViews>
    <customSheetView guid="{AB5399CE-BEB7-40AA-A66C-46449E135DF8}" scale="93" showGridLines="0" topLeftCell="A84">
      <selection activeCell="E4" sqref="E4:F4"/>
      <rowBreaks count="2" manualBreakCount="2">
        <brk id="34" max="5" man="1"/>
        <brk id="65" max="16383" man="1"/>
      </rowBreaks>
      <pageMargins left="0" right="0" top="0" bottom="0" header="0" footer="0"/>
      <printOptions horizontalCentered="1"/>
      <pageSetup scale="77" fitToHeight="3" orientation="landscape" r:id="rId1"/>
      <headerFooter alignWithMargins="0"/>
    </customSheetView>
  </customSheetViews>
  <mergeCells count="254">
    <mergeCell ref="A138:F138"/>
    <mergeCell ref="C78:C79"/>
    <mergeCell ref="D78:E79"/>
    <mergeCell ref="F78:F79"/>
    <mergeCell ref="A42:B42"/>
    <mergeCell ref="A19:B19"/>
    <mergeCell ref="A20:B20"/>
    <mergeCell ref="A27:B27"/>
    <mergeCell ref="A28:B28"/>
    <mergeCell ref="A49:F49"/>
    <mergeCell ref="D42:E42"/>
    <mergeCell ref="A39:B39"/>
    <mergeCell ref="B56:B57"/>
    <mergeCell ref="C56:C57"/>
    <mergeCell ref="C64:C65"/>
    <mergeCell ref="A45:C45"/>
    <mergeCell ref="B50:B51"/>
    <mergeCell ref="D54:E54"/>
    <mergeCell ref="D55:E55"/>
    <mergeCell ref="B64:B65"/>
    <mergeCell ref="D60:E60"/>
    <mergeCell ref="D61:E61"/>
    <mergeCell ref="D62:E62"/>
    <mergeCell ref="B88:B89"/>
    <mergeCell ref="A86:F86"/>
    <mergeCell ref="A87:F87"/>
    <mergeCell ref="D66:E66"/>
    <mergeCell ref="D67:E67"/>
    <mergeCell ref="A44:F44"/>
    <mergeCell ref="F64:F65"/>
    <mergeCell ref="D72:E72"/>
    <mergeCell ref="D73:E73"/>
    <mergeCell ref="D74:E74"/>
    <mergeCell ref="D75:E75"/>
    <mergeCell ref="D76:E76"/>
    <mergeCell ref="D59:E59"/>
    <mergeCell ref="D68:E68"/>
    <mergeCell ref="D69:E69"/>
    <mergeCell ref="D70:E70"/>
    <mergeCell ref="D71:E71"/>
    <mergeCell ref="D80:E80"/>
    <mergeCell ref="D81:E81"/>
    <mergeCell ref="D82:E82"/>
    <mergeCell ref="D83:E83"/>
    <mergeCell ref="D84:E84"/>
    <mergeCell ref="D63:E63"/>
    <mergeCell ref="D64:E65"/>
    <mergeCell ref="D50:E51"/>
    <mergeCell ref="A25:B25"/>
    <mergeCell ref="F50:F51"/>
    <mergeCell ref="A29:B29"/>
    <mergeCell ref="A33:B33"/>
    <mergeCell ref="A37:B37"/>
    <mergeCell ref="A38:B38"/>
    <mergeCell ref="A8:F8"/>
    <mergeCell ref="A9:B9"/>
    <mergeCell ref="A48:F48"/>
    <mergeCell ref="A47:F47"/>
    <mergeCell ref="D39:E39"/>
    <mergeCell ref="D9:E10"/>
    <mergeCell ref="A35:B35"/>
    <mergeCell ref="A34:B34"/>
    <mergeCell ref="A40:B40"/>
    <mergeCell ref="A41:B41"/>
    <mergeCell ref="F37:F38"/>
    <mergeCell ref="A43:B43"/>
    <mergeCell ref="D33:E33"/>
    <mergeCell ref="A46:C46"/>
    <mergeCell ref="D46:E46"/>
    <mergeCell ref="D43:E43"/>
    <mergeCell ref="C37:C38"/>
    <mergeCell ref="C6:D6"/>
    <mergeCell ref="E6:F6"/>
    <mergeCell ref="A7:D7"/>
    <mergeCell ref="E7:F7"/>
    <mergeCell ref="A13:B13"/>
    <mergeCell ref="D13:E13"/>
    <mergeCell ref="A14:B14"/>
    <mergeCell ref="D14:E14"/>
    <mergeCell ref="F9:F10"/>
    <mergeCell ref="A11:B11"/>
    <mergeCell ref="D11:E11"/>
    <mergeCell ref="A1:F1"/>
    <mergeCell ref="B2:F2"/>
    <mergeCell ref="A36:B36"/>
    <mergeCell ref="C23:C24"/>
    <mergeCell ref="D23:E24"/>
    <mergeCell ref="F23:F24"/>
    <mergeCell ref="A21:B21"/>
    <mergeCell ref="D21:E21"/>
    <mergeCell ref="A22:B22"/>
    <mergeCell ref="D22:E22"/>
    <mergeCell ref="A23:B23"/>
    <mergeCell ref="A24:B24"/>
    <mergeCell ref="D25:E25"/>
    <mergeCell ref="D26:E26"/>
    <mergeCell ref="D35:E35"/>
    <mergeCell ref="A30:B30"/>
    <mergeCell ref="A31:B31"/>
    <mergeCell ref="A32:B32"/>
    <mergeCell ref="C4:D4"/>
    <mergeCell ref="C9:C10"/>
    <mergeCell ref="E4:F4"/>
    <mergeCell ref="D19:E19"/>
    <mergeCell ref="D20:E20"/>
    <mergeCell ref="A3:F3"/>
    <mergeCell ref="D56:E57"/>
    <mergeCell ref="D58:E58"/>
    <mergeCell ref="C50:C51"/>
    <mergeCell ref="F56:F57"/>
    <mergeCell ref="D27:E27"/>
    <mergeCell ref="D28:E28"/>
    <mergeCell ref="D29:E29"/>
    <mergeCell ref="D30:E30"/>
    <mergeCell ref="D31:E31"/>
    <mergeCell ref="D32:E32"/>
    <mergeCell ref="D34:E34"/>
    <mergeCell ref="D40:E40"/>
    <mergeCell ref="D52:E52"/>
    <mergeCell ref="D53:E53"/>
    <mergeCell ref="C140:D140"/>
    <mergeCell ref="A132:F132"/>
    <mergeCell ref="A133:F133"/>
    <mergeCell ref="A139:F139"/>
    <mergeCell ref="E140:F140"/>
    <mergeCell ref="D41:E41"/>
    <mergeCell ref="C5:D5"/>
    <mergeCell ref="E5:F5"/>
    <mergeCell ref="F15:F16"/>
    <mergeCell ref="A10:B10"/>
    <mergeCell ref="C15:C16"/>
    <mergeCell ref="D15:E16"/>
    <mergeCell ref="A26:B26"/>
    <mergeCell ref="A12:B12"/>
    <mergeCell ref="D12:E12"/>
    <mergeCell ref="A17:B17"/>
    <mergeCell ref="D17:E17"/>
    <mergeCell ref="A18:B18"/>
    <mergeCell ref="D18:E18"/>
    <mergeCell ref="A15:B15"/>
    <mergeCell ref="A16:B16"/>
    <mergeCell ref="D37:E38"/>
    <mergeCell ref="D36:E36"/>
    <mergeCell ref="D45:E45"/>
    <mergeCell ref="C160:D160"/>
    <mergeCell ref="C161:D161"/>
    <mergeCell ref="C162:D162"/>
    <mergeCell ref="C163:D163"/>
    <mergeCell ref="C158:D158"/>
    <mergeCell ref="C159:D159"/>
    <mergeCell ref="E159:F159"/>
    <mergeCell ref="E163:F163"/>
    <mergeCell ref="E160:F160"/>
    <mergeCell ref="E161:F161"/>
    <mergeCell ref="E162:F162"/>
    <mergeCell ref="E158:F158"/>
    <mergeCell ref="C156:D156"/>
    <mergeCell ref="C157:D157"/>
    <mergeCell ref="E156:F156"/>
    <mergeCell ref="E157:F157"/>
    <mergeCell ref="A152:F152"/>
    <mergeCell ref="E154:F155"/>
    <mergeCell ref="B154:B155"/>
    <mergeCell ref="E141:F141"/>
    <mergeCell ref="E142:F142"/>
    <mergeCell ref="E143:F143"/>
    <mergeCell ref="C154:D155"/>
    <mergeCell ref="A153:F153"/>
    <mergeCell ref="E151:F151"/>
    <mergeCell ref="E144:F144"/>
    <mergeCell ref="E145:F145"/>
    <mergeCell ref="E146:F146"/>
    <mergeCell ref="E147:F147"/>
    <mergeCell ref="E148:F148"/>
    <mergeCell ref="E150:F150"/>
    <mergeCell ref="E149:F149"/>
    <mergeCell ref="D77:E77"/>
    <mergeCell ref="B78:B79"/>
    <mergeCell ref="B94:B95"/>
    <mergeCell ref="B102:B103"/>
    <mergeCell ref="B116:B117"/>
    <mergeCell ref="C108:D108"/>
    <mergeCell ref="C109:D109"/>
    <mergeCell ref="C110:D110"/>
    <mergeCell ref="C111:D111"/>
    <mergeCell ref="C112:D112"/>
    <mergeCell ref="C113:D113"/>
    <mergeCell ref="C114:D114"/>
    <mergeCell ref="C115:D115"/>
    <mergeCell ref="C116:D117"/>
    <mergeCell ref="C98:D98"/>
    <mergeCell ref="C99:D99"/>
    <mergeCell ref="C100:D100"/>
    <mergeCell ref="C101:D101"/>
    <mergeCell ref="C102:D103"/>
    <mergeCell ref="C104:D104"/>
    <mergeCell ref="E100:F100"/>
    <mergeCell ref="E101:F101"/>
    <mergeCell ref="E94:F95"/>
    <mergeCell ref="E90:F90"/>
    <mergeCell ref="E91:F91"/>
    <mergeCell ref="E92:F92"/>
    <mergeCell ref="E93:F93"/>
    <mergeCell ref="E96:F96"/>
    <mergeCell ref="E97:F97"/>
    <mergeCell ref="E98:F98"/>
    <mergeCell ref="E99:F99"/>
    <mergeCell ref="C88:D89"/>
    <mergeCell ref="E88:F89"/>
    <mergeCell ref="C90:D90"/>
    <mergeCell ref="C91:D91"/>
    <mergeCell ref="C92:D92"/>
    <mergeCell ref="C93:D93"/>
    <mergeCell ref="C94:D95"/>
    <mergeCell ref="C96:D96"/>
    <mergeCell ref="C97:D97"/>
    <mergeCell ref="E112:F112"/>
    <mergeCell ref="E113:F113"/>
    <mergeCell ref="E114:F114"/>
    <mergeCell ref="E115:F115"/>
    <mergeCell ref="E119:F119"/>
    <mergeCell ref="E120:F120"/>
    <mergeCell ref="C105:D105"/>
    <mergeCell ref="C106:D106"/>
    <mergeCell ref="C107:D107"/>
    <mergeCell ref="C118:D118"/>
    <mergeCell ref="C119:D119"/>
    <mergeCell ref="C120:D120"/>
    <mergeCell ref="E118:F118"/>
    <mergeCell ref="E102:F103"/>
    <mergeCell ref="E104:F104"/>
    <mergeCell ref="E105:F105"/>
    <mergeCell ref="E106:F106"/>
    <mergeCell ref="E107:F107"/>
    <mergeCell ref="E108:F108"/>
    <mergeCell ref="E109:F109"/>
    <mergeCell ref="E110:F110"/>
    <mergeCell ref="E111:F111"/>
    <mergeCell ref="A128:F128"/>
    <mergeCell ref="A129:F129"/>
    <mergeCell ref="D134:E134"/>
    <mergeCell ref="D135:E135"/>
    <mergeCell ref="D136:E136"/>
    <mergeCell ref="D137:E137"/>
    <mergeCell ref="E121:F121"/>
    <mergeCell ref="E122:F122"/>
    <mergeCell ref="E116:F117"/>
    <mergeCell ref="C121:D121"/>
    <mergeCell ref="C122:D122"/>
    <mergeCell ref="A127:F127"/>
    <mergeCell ref="A131:F131"/>
    <mergeCell ref="A130:F130"/>
    <mergeCell ref="A125:F125"/>
    <mergeCell ref="A126:F126"/>
  </mergeCells>
  <phoneticPr fontId="0" type="noConversion"/>
  <dataValidations count="9">
    <dataValidation type="list" allowBlank="1" showInputMessage="1" showErrorMessage="1" sqref="E143:E150 F143:F148 F150" xr:uid="{00000000-0002-0000-0500-000000000000}">
      <formula1>"New,Existing"</formula1>
    </dataValidation>
    <dataValidation type="list" allowBlank="1" showInputMessage="1" showErrorMessage="1" sqref="B52:C55 F66:F77" xr:uid="{00000000-0002-0000-0500-000002000000}">
      <formula1>"(Select…),Yes,No"</formula1>
    </dataValidation>
    <dataValidation type="list" allowBlank="1" showInputMessage="1" showErrorMessage="1" sqref="B80:C84" xr:uid="{00000000-0002-0000-0500-000003000000}">
      <formula1>"(Select….),Yes,No,Not applicable"</formula1>
    </dataValidation>
    <dataValidation type="list" allowBlank="1" showInputMessage="1" showErrorMessage="1" sqref="B66:B77 B58:F63" xr:uid="{00000000-0002-0000-0500-000004000000}">
      <formula1>"(Select….),Yes,No"</formula1>
    </dataValidation>
    <dataValidation type="list" allowBlank="1" showInputMessage="1" showErrorMessage="1" sqref="C58:C63" xr:uid="{00000000-0002-0000-0500-000005000000}">
      <formula1>"(Select….),Y-Already Appropriated,Y-Appropriation Needed,N-Not Appropriated"</formula1>
    </dataValidation>
    <dataValidation type="list" allowBlank="1" showInputMessage="1" showErrorMessage="1" sqref="D58:D63" xr:uid="{00000000-0002-0000-0500-000006000000}">
      <formula1>"(Select….),Y-Already Awarded,Y-Need to Apply, N-Not Awarded"</formula1>
    </dataValidation>
    <dataValidation type="list" allowBlank="1" showInputMessage="1" showErrorMessage="1" sqref="C66:D77 F53:F55 D53:D55 D52:F52" xr:uid="{00000000-0002-0000-0500-000007000000}">
      <formula1>"(Select…),Yes,No,Not applicable"</formula1>
    </dataValidation>
    <dataValidation type="list" allowBlank="1" showInputMessage="1" showErrorMessage="1" sqref="F58:F63" xr:uid="{00000000-0002-0000-0500-000008000000}">
      <formula1>"(Select….),Yes, No, Not applicable"</formula1>
    </dataValidation>
    <dataValidation type="list" allowBlank="1" showInputMessage="1" showErrorMessage="1" sqref="D143:D150" xr:uid="{F9521527-B87B-44B1-BD0E-FD96BEC728B0}">
      <formula1>"Committed,Budgeted,Planned"</formula1>
    </dataValidation>
  </dataValidations>
  <printOptions horizontalCentered="1"/>
  <pageMargins left="0.75" right="0.75" top="0.75" bottom="0.75" header="0.5" footer="0.5"/>
  <pageSetup scale="68" fitToHeight="3" orientation="landscape" r:id="rId2"/>
  <headerFooter alignWithMargins="0"/>
  <rowBreaks count="6" manualBreakCount="6">
    <brk id="36" max="5" man="1"/>
    <brk id="47" max="5" man="1"/>
    <brk id="77" max="5" man="1"/>
    <brk id="85" max="16383" man="1"/>
    <brk id="112" max="5" man="1"/>
    <brk id="130" max="5" man="1"/>
  </rowBreaks>
  <ignoredErrors>
    <ignoredError sqref="A12:B14 B43 A18:B18 A25:B26 A39:B39" numberStoredAsText="1"/>
  </ignoredError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9"/>
  <sheetViews>
    <sheetView zoomScaleNormal="100" workbookViewId="0">
      <selection activeCell="C12" sqref="C12"/>
    </sheetView>
  </sheetViews>
  <sheetFormatPr defaultColWidth="9.33203125" defaultRowHeight="15.5"/>
  <cols>
    <col min="1" max="1" width="31.6640625" style="518" customWidth="1"/>
    <col min="2" max="2" width="10.6640625" style="518" customWidth="1"/>
    <col min="3" max="3" width="22.33203125" style="518" customWidth="1"/>
    <col min="4" max="4" width="10.33203125" style="518" hidden="1" customWidth="1"/>
    <col min="5" max="5" width="72.6640625" style="518" customWidth="1"/>
    <col min="6" max="6" width="3.6640625" style="518" customWidth="1"/>
    <col min="7" max="7" width="66.44140625" style="518" customWidth="1"/>
    <col min="8" max="8" width="10.6640625" style="518" customWidth="1"/>
    <col min="9" max="9" width="21.6640625" style="518" customWidth="1"/>
    <col min="10" max="10" width="10.6640625" style="518" hidden="1" customWidth="1"/>
    <col min="11" max="11" width="68.109375" style="518" customWidth="1"/>
    <col min="12" max="16384" width="9.33203125" style="518"/>
  </cols>
  <sheetData>
    <row r="1" spans="1:11" ht="20.5" thickBot="1">
      <c r="A1" s="1239" t="s">
        <v>471</v>
      </c>
      <c r="B1" s="1240"/>
      <c r="C1" s="1240"/>
      <c r="D1" s="1240"/>
      <c r="E1" s="1240"/>
      <c r="F1" s="1240"/>
      <c r="G1" s="1240"/>
      <c r="H1" s="1240"/>
      <c r="I1" s="1240"/>
      <c r="J1" s="1240"/>
      <c r="K1" s="1241"/>
    </row>
    <row r="2" spans="1:11" s="519" customFormat="1" ht="18.5" thickBot="1">
      <c r="A2" s="1257" t="s">
        <v>0</v>
      </c>
      <c r="B2" s="1258"/>
      <c r="C2" s="1258"/>
      <c r="D2" s="1258"/>
      <c r="E2" s="1258"/>
      <c r="F2" s="1259"/>
      <c r="G2" s="1254" t="str">
        <f>IF('Project Description'!B2="","",'Project Description'!B2)</f>
        <v/>
      </c>
      <c r="H2" s="1255"/>
      <c r="I2" s="1255"/>
      <c r="J2" s="1255"/>
      <c r="K2" s="1256"/>
    </row>
    <row r="3" spans="1:11" ht="34.4" customHeight="1" thickBot="1">
      <c r="A3" s="1242" t="s">
        <v>472</v>
      </c>
      <c r="B3" s="1243"/>
      <c r="C3" s="1243"/>
      <c r="D3" s="1243"/>
      <c r="E3" s="1243"/>
      <c r="F3" s="1243"/>
      <c r="G3" s="1243"/>
      <c r="H3" s="1243"/>
      <c r="I3" s="1243"/>
      <c r="J3" s="1243"/>
      <c r="K3" s="1244"/>
    </row>
    <row r="4" spans="1:11" ht="16" thickBot="1"/>
    <row r="5" spans="1:11" ht="18" customHeight="1" thickBot="1">
      <c r="A5" s="1245" t="s">
        <v>473</v>
      </c>
      <c r="B5" s="1246"/>
      <c r="C5" s="1246"/>
      <c r="D5" s="1246"/>
      <c r="E5" s="1247"/>
      <c r="F5" s="520"/>
      <c r="G5" s="1245" t="s">
        <v>474</v>
      </c>
      <c r="H5" s="1246"/>
      <c r="I5" s="1246"/>
      <c r="J5" s="1246"/>
      <c r="K5" s="1247"/>
    </row>
    <row r="6" spans="1:11" ht="31.5" customHeight="1" thickBot="1">
      <c r="A6" s="521" t="s">
        <v>475</v>
      </c>
      <c r="B6" s="522" t="s">
        <v>476</v>
      </c>
      <c r="C6" s="523" t="s">
        <v>477</v>
      </c>
      <c r="D6" s="524" t="s">
        <v>478</v>
      </c>
      <c r="E6" s="525" t="s">
        <v>180</v>
      </c>
      <c r="G6" s="521" t="s">
        <v>475</v>
      </c>
      <c r="H6" s="522" t="s">
        <v>476</v>
      </c>
      <c r="I6" s="523" t="s">
        <v>477</v>
      </c>
      <c r="J6" s="524" t="s">
        <v>478</v>
      </c>
      <c r="K6" s="525" t="s">
        <v>180</v>
      </c>
    </row>
    <row r="7" spans="1:11" ht="25.4" customHeight="1">
      <c r="A7" s="526" t="s">
        <v>177</v>
      </c>
      <c r="B7" s="527">
        <v>0.1666</v>
      </c>
      <c r="C7" s="528" t="str">
        <f>IF('Mobility Cost Eff &amp; Cong Relief'!C11=warrantedMedium,"MEDIUM",IF('Mobility Cost Eff &amp; Cong Relief'!C11=doesntMeetThresholds,"",'Mobility Cost Eff &amp; Cong Relief'!C11))</f>
        <v/>
      </c>
      <c r="D7" s="529" t="str">
        <f>VLOOKUP(IF(C7="","-",C7),Lookups!$G$24:$H$29,2,FALSE)</f>
        <v/>
      </c>
      <c r="E7" s="1248" t="s">
        <v>479</v>
      </c>
      <c r="G7" s="526" t="s">
        <v>480</v>
      </c>
      <c r="H7" s="530">
        <v>0.25</v>
      </c>
      <c r="I7" s="309" t="s">
        <v>173</v>
      </c>
      <c r="J7" s="531" t="str">
        <f>VLOOKUP(I7,Lookups!$G$24:$H$29,2,FALSE)</f>
        <v/>
      </c>
      <c r="K7" s="1251" t="s">
        <v>481</v>
      </c>
    </row>
    <row r="8" spans="1:11" ht="25.4" customHeight="1">
      <c r="A8" s="532" t="s">
        <v>184</v>
      </c>
      <c r="B8" s="527">
        <v>0.1666</v>
      </c>
      <c r="C8" s="533" t="str">
        <f>IF('Mobility Cost Eff &amp; Cong Relief'!C22=warrantedMedium,"MEDIUM",IF('Mobility Cost Eff &amp; Cong Relief'!C22=doesntMeetThresholds,"",'Mobility Cost Eff &amp; Cong Relief'!C22))</f>
        <v/>
      </c>
      <c r="D8" s="529" t="str">
        <f>VLOOKUP(IF(C8="","-",C8),Lookups!$G$24:$H$29,2,FALSE)</f>
        <v/>
      </c>
      <c r="E8" s="1249"/>
      <c r="G8" s="532" t="s">
        <v>482</v>
      </c>
      <c r="H8" s="530">
        <v>0.25</v>
      </c>
      <c r="I8" s="309" t="s">
        <v>173</v>
      </c>
      <c r="J8" s="531" t="str">
        <f>VLOOKUP(I8,Lookups!$G$24:$H$29,2,FALSE)</f>
        <v/>
      </c>
      <c r="K8" s="1252"/>
    </row>
    <row r="9" spans="1:11" ht="25.4" customHeight="1">
      <c r="A9" s="532" t="s">
        <v>175</v>
      </c>
      <c r="B9" s="527">
        <v>0.1666</v>
      </c>
      <c r="C9" s="533" t="str">
        <f>IF('Mobility Cost Eff &amp; Cong Relief'!C29=warrantedMedium,"MEDIUM",IF('Mobility Cost Eff &amp; Cong Relief'!C29=doesntMeetThresholds,"",'Mobility Cost Eff &amp; Cong Relief'!C29))</f>
        <v>LOW</v>
      </c>
      <c r="D9" s="529">
        <f>VLOOKUP(IF(C9="","-",C9),Lookups!$G$24:$H$29,2,FALSE)</f>
        <v>1</v>
      </c>
      <c r="E9" s="1250"/>
      <c r="G9" s="532" t="s">
        <v>483</v>
      </c>
      <c r="H9" s="530">
        <v>0.5</v>
      </c>
      <c r="I9" s="309" t="s">
        <v>173</v>
      </c>
      <c r="J9" s="531" t="str">
        <f>VLOOKUP(I9,Lookups!$G$24:$H$29,2,FALSE)</f>
        <v/>
      </c>
      <c r="K9" s="1253"/>
    </row>
    <row r="10" spans="1:11" ht="37.4" customHeight="1" thickBot="1">
      <c r="A10" s="532" t="s">
        <v>174</v>
      </c>
      <c r="B10" s="527">
        <v>0.1666</v>
      </c>
      <c r="C10" s="533" t="str">
        <f>IF('Environmental Benefits'!H33=doesntMeetThresholds,"",'Environmental Benefits'!H33)</f>
        <v/>
      </c>
      <c r="D10" s="529" t="str">
        <f>VLOOKUP(IF(C10="","-",C10),Lookups!$G$24:$H$29,2,FALSE)</f>
        <v/>
      </c>
      <c r="E10" s="534" t="s">
        <v>484</v>
      </c>
      <c r="G10" s="535" t="str">
        <f>CONCATENATE("  CIG Share (",IF(Finance!E5=0,"Please complete the Finance Template",TEXT(Finance!E5,"0%")),")")</f>
        <v xml:space="preserve">  CIG Share (Please complete the Finance Template)</v>
      </c>
      <c r="H10" s="536" t="s">
        <v>173</v>
      </c>
      <c r="I10" s="537" t="str">
        <f>IF(COUNTBLANK(J7:J9)&gt;0,"-",IF(AND(Finance!E5&gt;0,ROUND(Finance!E5,2)&lt;0.5,(0.25*J7+0.25*J8+0.5*J9)&gt;=2.5,(0.25*J7+0.25*J8+0.5*J9)&lt;4.5),"+1 level","-"))</f>
        <v>-</v>
      </c>
      <c r="J10" s="538">
        <f>IF(I10="+1 level",1,0)</f>
        <v>0</v>
      </c>
      <c r="K10" s="539" t="s">
        <v>485</v>
      </c>
    </row>
    <row r="11" spans="1:11" ht="25.4" customHeight="1">
      <c r="A11" s="532" t="s">
        <v>486</v>
      </c>
      <c r="B11" s="527">
        <v>0.1666</v>
      </c>
      <c r="C11" s="309" t="s">
        <v>173</v>
      </c>
      <c r="D11" s="531" t="str">
        <f>VLOOKUP(C11,Lookups!$G$24:$H$29,2,FALSE)</f>
        <v/>
      </c>
      <c r="E11" s="1237" t="s">
        <v>487</v>
      </c>
      <c r="G11" s="1228" t="s">
        <v>488</v>
      </c>
      <c r="H11" s="1231"/>
      <c r="I11" s="1231" t="str">
        <f>IF(J11="","-",VLOOKUP(J11,Lookups!$B$16:$C$22,2))</f>
        <v>-</v>
      </c>
      <c r="J11" s="1231" t="str">
        <f>IF(COUNTBLANK(J7:J9)&gt;0,"",ROUND(0.25*J7+0.25*J8+0.5*J9+J10,0))</f>
        <v/>
      </c>
      <c r="K11" s="1234" t="s">
        <v>489</v>
      </c>
    </row>
    <row r="12" spans="1:11" ht="25.4" customHeight="1" thickBot="1">
      <c r="A12" s="540" t="s">
        <v>490</v>
      </c>
      <c r="B12" s="527">
        <v>0.1666</v>
      </c>
      <c r="C12" s="309" t="s">
        <v>173</v>
      </c>
      <c r="D12" s="541" t="str">
        <f>VLOOKUP(C12,Lookups!$G$24:$H$29,2,FALSE)</f>
        <v/>
      </c>
      <c r="E12" s="1238"/>
      <c r="G12" s="1229"/>
      <c r="H12" s="1232"/>
      <c r="I12" s="1232"/>
      <c r="J12" s="1232"/>
      <c r="K12" s="1235"/>
    </row>
    <row r="13" spans="1:11" ht="72.75" customHeight="1" thickBot="1">
      <c r="A13" s="542" t="s">
        <v>488</v>
      </c>
      <c r="B13" s="522"/>
      <c r="C13" s="543" t="str">
        <f>IF(D13="","-",VLOOKUP(D13,Lookups!$B$16:$C$22,2))</f>
        <v>-</v>
      </c>
      <c r="D13" s="524" t="str">
        <f>IF(COUNTBLANK(D7:D12)&gt;0,"",ROUND(AVERAGE(D7:D12),0))</f>
        <v/>
      </c>
      <c r="E13" s="544" t="s">
        <v>491</v>
      </c>
      <c r="G13" s="1230"/>
      <c r="H13" s="1233"/>
      <c r="I13" s="1233"/>
      <c r="J13" s="1233"/>
      <c r="K13" s="1236"/>
    </row>
    <row r="14" spans="1:11" ht="13.4" customHeight="1" thickBot="1"/>
    <row r="15" spans="1:11" ht="74.5" thickBot="1">
      <c r="D15" s="545" t="str">
        <f>IF(OR(D13="",J11=""),"",IF(OR(D13&lt;3,J11&lt;3),MIN(2,ROUND(AVERAGE(D13,J11),0)),ROUND(AVERAGE(D13,J11),0)))</f>
        <v/>
      </c>
      <c r="E15" s="546" t="s">
        <v>492</v>
      </c>
      <c r="F15" s="547"/>
      <c r="G15" s="548" t="str">
        <f>IF(D15="","Complete all templates and the highlighted cells in this worksheet to see the estimated overall rating.",VLOOKUP(D15,Lookups!$B$16:$C$22,2))</f>
        <v>Complete all templates and the highlighted cells in this worksheet to see the estimated overall rating.</v>
      </c>
      <c r="H15" s="549"/>
      <c r="I15" s="549"/>
      <c r="J15" s="549"/>
      <c r="K15" s="549"/>
    </row>
    <row r="17" spans="1:11">
      <c r="B17" s="550"/>
      <c r="E17" s="1226" t="s">
        <v>493</v>
      </c>
      <c r="F17" s="1226"/>
      <c r="G17" s="1226"/>
    </row>
    <row r="19" spans="1:11" ht="44.9" customHeight="1">
      <c r="A19" s="1227" t="s">
        <v>494</v>
      </c>
      <c r="B19" s="1227"/>
      <c r="C19" s="1227"/>
      <c r="D19" s="1227"/>
      <c r="E19" s="1227"/>
      <c r="F19" s="1227"/>
      <c r="G19" s="1227"/>
      <c r="H19" s="1227"/>
      <c r="I19" s="1227"/>
      <c r="J19" s="1227"/>
      <c r="K19" s="1227"/>
    </row>
  </sheetData>
  <sheetProtection algorithmName="SHA-512" hashValue="V1fUVlpPH+7OZeXr/tEHSnIhABLeLbTcT18ZrBWkTI1bh/Pxm9rra5hgv0f2Z+9uKTw3v7qLGt+KEOt3TsuXmQ==" saltValue="WnNjBJxVPDbQGnX82fg4dQ==" spinCount="100000" sheet="1" formatCells="0" formatColumns="0" formatRows="0" insertColumns="0" insertRows="0" insertHyperlinks="0" selectLockedCells="1"/>
  <mergeCells count="16">
    <mergeCell ref="A1:K1"/>
    <mergeCell ref="A3:K3"/>
    <mergeCell ref="A5:E5"/>
    <mergeCell ref="G5:K5"/>
    <mergeCell ref="E7:E9"/>
    <mergeCell ref="K7:K9"/>
    <mergeCell ref="G2:K2"/>
    <mergeCell ref="A2:F2"/>
    <mergeCell ref="E17:G17"/>
    <mergeCell ref="A19:K19"/>
    <mergeCell ref="G11:G13"/>
    <mergeCell ref="H11:H13"/>
    <mergeCell ref="I11:I13"/>
    <mergeCell ref="J11:J13"/>
    <mergeCell ref="K11:K13"/>
    <mergeCell ref="E11:E12"/>
  </mergeCells>
  <hyperlinks>
    <hyperlink ref="E17" r:id="rId1" display="Link to CIG Program Guidance on the FTA website" xr:uid="{00000000-0004-0000-0700-000000000000}"/>
  </hyperlinks>
  <pageMargins left="0.7" right="0.7" top="0.75" bottom="0.75" header="0.3" footer="0.3"/>
  <pageSetup scale="50" orientation="landscape"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Lookups!$G$24:$G$29</xm:f>
          </x14:formula1>
          <xm:sqref>C11:C12 I7:I9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2"/>
  <sheetViews>
    <sheetView topLeftCell="A12" zoomScaleNormal="100" workbookViewId="0">
      <selection activeCell="G33" sqref="G33:G34"/>
    </sheetView>
  </sheetViews>
  <sheetFormatPr defaultColWidth="10.6640625" defaultRowHeight="12.5"/>
  <cols>
    <col min="1" max="1" width="75.6640625" style="552" customWidth="1"/>
    <col min="2" max="2" width="21.6640625" style="552" customWidth="1"/>
    <col min="3" max="3" width="28.44140625" style="552" customWidth="1"/>
    <col min="4" max="6" width="10.6640625" style="552"/>
    <col min="7" max="7" width="74.109375" style="552" customWidth="1"/>
    <col min="8" max="8" width="14.6640625" style="552" bestFit="1" customWidth="1"/>
    <col min="9" max="9" width="10.6640625" style="552"/>
    <col min="10" max="10" width="11.6640625" style="552" bestFit="1" customWidth="1"/>
    <col min="11" max="11" width="10.6640625" style="552"/>
    <col min="12" max="12" width="49.44140625" style="552" bestFit="1" customWidth="1"/>
    <col min="13" max="16384" width="10.6640625" style="552"/>
  </cols>
  <sheetData>
    <row r="1" spans="1:16" ht="18">
      <c r="A1" s="551" t="s">
        <v>140</v>
      </c>
    </row>
    <row r="3" spans="1:16" ht="15" customHeight="1" thickBot="1">
      <c r="A3" s="553" t="s">
        <v>141</v>
      </c>
      <c r="B3" s="554" t="s">
        <v>142</v>
      </c>
      <c r="C3" s="554" t="s">
        <v>143</v>
      </c>
      <c r="G3" s="555" t="s">
        <v>144</v>
      </c>
    </row>
    <row r="4" spans="1:16" ht="18" customHeight="1" thickTop="1">
      <c r="A4" s="288" t="s">
        <v>145</v>
      </c>
      <c r="B4" s="289">
        <v>0</v>
      </c>
      <c r="C4" s="290" t="s">
        <v>146</v>
      </c>
    </row>
    <row r="5" spans="1:16" ht="18" customHeight="1">
      <c r="A5" s="282"/>
      <c r="B5" s="283">
        <v>0.01</v>
      </c>
      <c r="C5" s="284" t="s">
        <v>147</v>
      </c>
      <c r="G5" s="552" t="s">
        <v>148</v>
      </c>
      <c r="I5" s="552" t="str">
        <f>IF('Project Description'!C92="(Select…)","unknown",'Project Description'!C92)</f>
        <v>unknown</v>
      </c>
    </row>
    <row r="6" spans="1:16" ht="18" customHeight="1">
      <c r="A6" s="282"/>
      <c r="B6" s="283">
        <v>4</v>
      </c>
      <c r="C6" s="284" t="s">
        <v>149</v>
      </c>
    </row>
    <row r="7" spans="1:16" ht="18" customHeight="1">
      <c r="A7" s="282"/>
      <c r="B7" s="283">
        <v>6</v>
      </c>
      <c r="C7" s="284" t="s">
        <v>150</v>
      </c>
      <c r="G7" s="552" t="s">
        <v>151</v>
      </c>
      <c r="J7" s="552" t="s">
        <v>152</v>
      </c>
      <c r="M7" s="552" t="s">
        <v>153</v>
      </c>
    </row>
    <row r="8" spans="1:16" ht="18" customHeight="1">
      <c r="A8" s="282"/>
      <c r="B8" s="283">
        <v>10</v>
      </c>
      <c r="C8" s="284" t="s">
        <v>154</v>
      </c>
      <c r="G8" s="552">
        <v>0</v>
      </c>
      <c r="H8" s="552">
        <v>0</v>
      </c>
      <c r="J8" s="552">
        <v>0</v>
      </c>
      <c r="K8" s="552">
        <v>1</v>
      </c>
      <c r="M8" s="552" t="s">
        <v>155</v>
      </c>
      <c r="P8" s="552">
        <v>1</v>
      </c>
    </row>
    <row r="9" spans="1:16" ht="18" customHeight="1" thickBot="1">
      <c r="A9" s="285"/>
      <c r="B9" s="286">
        <v>15</v>
      </c>
      <c r="C9" s="287" t="s">
        <v>156</v>
      </c>
      <c r="G9" s="552">
        <v>3000</v>
      </c>
      <c r="H9" s="552">
        <v>1</v>
      </c>
      <c r="J9" s="552">
        <v>50000000</v>
      </c>
      <c r="K9" s="552">
        <v>2</v>
      </c>
      <c r="M9" s="552" t="s">
        <v>157</v>
      </c>
      <c r="P9" s="552">
        <v>1</v>
      </c>
    </row>
    <row r="10" spans="1:16" ht="18" customHeight="1">
      <c r="A10" s="288" t="s">
        <v>158</v>
      </c>
      <c r="B10" s="289">
        <v>0</v>
      </c>
      <c r="C10" s="290" t="s">
        <v>146</v>
      </c>
      <c r="G10" s="552">
        <v>6000</v>
      </c>
      <c r="H10" s="552">
        <v>2</v>
      </c>
      <c r="J10" s="552">
        <v>100000000</v>
      </c>
      <c r="K10" s="552">
        <v>3</v>
      </c>
      <c r="M10" s="552" t="s">
        <v>159</v>
      </c>
      <c r="P10" s="552">
        <v>0</v>
      </c>
    </row>
    <row r="11" spans="1:16" ht="18" customHeight="1">
      <c r="A11" s="282"/>
      <c r="B11" s="283">
        <v>0.01</v>
      </c>
      <c r="C11" s="284" t="s">
        <v>147</v>
      </c>
      <c r="G11" s="552">
        <v>9000</v>
      </c>
      <c r="H11" s="552">
        <v>3</v>
      </c>
      <c r="J11" s="552">
        <v>175000000</v>
      </c>
      <c r="K11" s="552">
        <v>4</v>
      </c>
    </row>
    <row r="12" spans="1:16" ht="18" customHeight="1">
      <c r="A12" s="282"/>
      <c r="B12" s="283">
        <v>1</v>
      </c>
      <c r="C12" s="284" t="s">
        <v>149</v>
      </c>
      <c r="G12" s="552">
        <v>12000</v>
      </c>
      <c r="H12" s="552">
        <v>4</v>
      </c>
      <c r="J12" s="552">
        <v>250000000</v>
      </c>
      <c r="K12" s="552">
        <v>5</v>
      </c>
    </row>
    <row r="13" spans="1:16" ht="18" customHeight="1">
      <c r="A13" s="282"/>
      <c r="B13" s="283">
        <v>2</v>
      </c>
      <c r="C13" s="284" t="s">
        <v>150</v>
      </c>
      <c r="G13" s="552">
        <v>15000</v>
      </c>
      <c r="H13" s="552">
        <v>5</v>
      </c>
      <c r="J13" s="552">
        <v>500000000</v>
      </c>
      <c r="K13" s="552">
        <v>0</v>
      </c>
    </row>
    <row r="14" spans="1:16" ht="18" customHeight="1">
      <c r="A14" s="282"/>
      <c r="B14" s="283">
        <v>4</v>
      </c>
      <c r="C14" s="284" t="s">
        <v>154</v>
      </c>
    </row>
    <row r="15" spans="1:16" ht="18" customHeight="1" thickBot="1">
      <c r="A15" s="285"/>
      <c r="B15" s="286">
        <v>5.01</v>
      </c>
      <c r="C15" s="287" t="s">
        <v>156</v>
      </c>
      <c r="G15" s="556" t="s">
        <v>160</v>
      </c>
      <c r="H15" s="552" t="str">
        <f>IF(I5="Yes",IF(NOT(ISNUMBER('Project Description'!C93)),"Unknown",VLOOKUP('Project Description'!C93,Lookups!G8:H13,2)),"")</f>
        <v/>
      </c>
      <c r="J15" s="556" t="s">
        <v>160</v>
      </c>
      <c r="K15" s="552" t="str">
        <f>IF(I5="Yes",IF(NOT(ISNUMBER(Finance!E4)),"Unknown",VLOOKUP('Project Description'!C98,Lookups!J8:K13,2)),"")</f>
        <v/>
      </c>
      <c r="M15" s="552" t="s">
        <v>160</v>
      </c>
      <c r="P15" s="552" t="str">
        <f>IF(I5="Yes",IF(Finance!E5=0,"Unknown",IF(OR(Finance!B5&lt;=100000000,Finance!E5&lt;=0.5),1,0)),"")</f>
        <v/>
      </c>
    </row>
    <row r="16" spans="1:16" ht="18" customHeight="1">
      <c r="A16" s="291" t="s">
        <v>161</v>
      </c>
      <c r="B16" s="289">
        <v>0</v>
      </c>
      <c r="C16" s="290" t="s">
        <v>162</v>
      </c>
      <c r="G16" s="552" t="s">
        <v>163</v>
      </c>
    </row>
    <row r="17" spans="1:12" ht="18" customHeight="1">
      <c r="A17" s="282"/>
      <c r="B17" s="283">
        <v>0.01</v>
      </c>
      <c r="C17" s="284" t="s">
        <v>156</v>
      </c>
      <c r="G17" s="552" t="s">
        <v>164</v>
      </c>
    </row>
    <row r="18" spans="1:12" ht="18" customHeight="1">
      <c r="A18" s="282"/>
      <c r="B18" s="283">
        <v>0.5</v>
      </c>
      <c r="C18" s="284" t="s">
        <v>156</v>
      </c>
      <c r="G18" s="552" t="s">
        <v>165</v>
      </c>
    </row>
    <row r="19" spans="1:12" ht="18" customHeight="1">
      <c r="A19" s="282"/>
      <c r="B19" s="283">
        <v>1.5</v>
      </c>
      <c r="C19" s="284" t="s">
        <v>154</v>
      </c>
    </row>
    <row r="20" spans="1:12" ht="18" customHeight="1">
      <c r="A20" s="282"/>
      <c r="B20" s="283">
        <v>2.5</v>
      </c>
      <c r="C20" s="284" t="s">
        <v>150</v>
      </c>
      <c r="G20" s="552" t="s">
        <v>166</v>
      </c>
      <c r="K20" s="552" t="str">
        <f>IF(H15="","",IF(OR(H15="Unknown",K15="Unknown",P15="Unknown"),"Unknown",IF(OR(H15=0,K15=0,K15&gt;H15,P15=0),"No","Yes")))</f>
        <v/>
      </c>
    </row>
    <row r="21" spans="1:12" ht="18" customHeight="1">
      <c r="A21" s="282"/>
      <c r="B21" s="283">
        <v>3.5</v>
      </c>
      <c r="C21" s="284" t="s">
        <v>149</v>
      </c>
      <c r="G21" s="552" t="s">
        <v>167</v>
      </c>
      <c r="L21" s="552" t="s">
        <v>168</v>
      </c>
    </row>
    <row r="22" spans="1:12" ht="18" customHeight="1" thickBot="1">
      <c r="A22" s="285"/>
      <c r="B22" s="286">
        <v>4.5</v>
      </c>
      <c r="C22" s="296" t="s">
        <v>147</v>
      </c>
      <c r="G22" s="552" t="s">
        <v>169</v>
      </c>
      <c r="L22" s="552" t="s">
        <v>170</v>
      </c>
    </row>
    <row r="23" spans="1:12" ht="18" customHeight="1">
      <c r="A23" s="288" t="s">
        <v>171</v>
      </c>
      <c r="B23" s="292">
        <v>0</v>
      </c>
      <c r="C23" s="281" t="s">
        <v>156</v>
      </c>
      <c r="G23" s="555" t="s">
        <v>172</v>
      </c>
    </row>
    <row r="24" spans="1:12" ht="18" customHeight="1">
      <c r="A24" s="282"/>
      <c r="B24" s="293">
        <v>2500000</v>
      </c>
      <c r="C24" s="284" t="s">
        <v>154</v>
      </c>
      <c r="G24" s="557" t="s">
        <v>173</v>
      </c>
      <c r="H24" s="558" t="str">
        <f>""</f>
        <v/>
      </c>
    </row>
    <row r="25" spans="1:12" ht="18" customHeight="1">
      <c r="A25" s="282"/>
      <c r="B25" s="293">
        <v>5000000</v>
      </c>
      <c r="C25" s="284" t="s">
        <v>150</v>
      </c>
      <c r="G25" s="284" t="s">
        <v>147</v>
      </c>
      <c r="H25" s="552">
        <v>5</v>
      </c>
    </row>
    <row r="26" spans="1:12" ht="18" customHeight="1">
      <c r="A26" s="282"/>
      <c r="B26" s="293">
        <v>15000000</v>
      </c>
      <c r="C26" s="284" t="s">
        <v>149</v>
      </c>
      <c r="G26" s="284" t="s">
        <v>149</v>
      </c>
      <c r="H26" s="552">
        <v>4</v>
      </c>
    </row>
    <row r="27" spans="1:12" ht="18" customHeight="1" thickBot="1">
      <c r="A27" s="285"/>
      <c r="B27" s="294">
        <v>30000000</v>
      </c>
      <c r="C27" s="296" t="s">
        <v>147</v>
      </c>
      <c r="G27" s="284" t="s">
        <v>150</v>
      </c>
      <c r="H27" s="552">
        <v>3</v>
      </c>
    </row>
    <row r="28" spans="1:12" ht="18" customHeight="1">
      <c r="A28" s="288" t="s">
        <v>174</v>
      </c>
      <c r="B28" s="298">
        <v>-1000</v>
      </c>
      <c r="C28" s="281" t="s">
        <v>156</v>
      </c>
      <c r="G28" s="284" t="s">
        <v>154</v>
      </c>
      <c r="H28" s="552">
        <v>2</v>
      </c>
    </row>
    <row r="29" spans="1:12" ht="18" customHeight="1">
      <c r="A29" s="282"/>
      <c r="B29" s="299">
        <v>-0.1</v>
      </c>
      <c r="C29" s="284" t="s">
        <v>154</v>
      </c>
      <c r="G29" s="287" t="s">
        <v>156</v>
      </c>
      <c r="H29" s="552">
        <v>1</v>
      </c>
    </row>
    <row r="30" spans="1:12" ht="18" customHeight="1">
      <c r="A30" s="282"/>
      <c r="B30" s="299">
        <v>0</v>
      </c>
      <c r="C30" s="284" t="s">
        <v>150</v>
      </c>
    </row>
    <row r="31" spans="1:12" ht="18" customHeight="1">
      <c r="A31" s="282"/>
      <c r="B31" s="299">
        <v>0.05</v>
      </c>
      <c r="C31" s="284" t="s">
        <v>149</v>
      </c>
    </row>
    <row r="32" spans="1:12" ht="18" customHeight="1" thickBot="1">
      <c r="A32" s="285"/>
      <c r="B32" s="300">
        <v>0.100000000001</v>
      </c>
      <c r="C32" s="296" t="s">
        <v>147</v>
      </c>
      <c r="G32" s="555" t="s">
        <v>498</v>
      </c>
    </row>
    <row r="33" spans="1:12" ht="18" customHeight="1">
      <c r="A33" s="288" t="s">
        <v>175</v>
      </c>
      <c r="B33" s="292">
        <v>0</v>
      </c>
      <c r="C33" s="281" t="s">
        <v>156</v>
      </c>
      <c r="G33" s="559"/>
      <c r="H33" s="591" t="s">
        <v>137</v>
      </c>
      <c r="I33" s="592" t="s">
        <v>138</v>
      </c>
      <c r="J33" s="592" t="s">
        <v>139</v>
      </c>
      <c r="K33" s="593" t="s">
        <v>499</v>
      </c>
      <c r="L33" s="594" t="s">
        <v>52</v>
      </c>
    </row>
    <row r="34" spans="1:12" ht="18" customHeight="1" thickBot="1">
      <c r="A34" s="282"/>
      <c r="B34" s="293">
        <v>500</v>
      </c>
      <c r="C34" s="284" t="s">
        <v>154</v>
      </c>
      <c r="H34" s="595">
        <v>1.1499999999999999</v>
      </c>
      <c r="I34" s="596">
        <v>1.2</v>
      </c>
      <c r="J34" s="596">
        <v>1.25</v>
      </c>
      <c r="K34" s="597" t="s">
        <v>112</v>
      </c>
      <c r="L34" s="598" t="s">
        <v>173</v>
      </c>
    </row>
    <row r="35" spans="1:12" ht="18" customHeight="1">
      <c r="A35" s="282"/>
      <c r="B35" s="293">
        <v>2500</v>
      </c>
      <c r="C35" s="284" t="s">
        <v>150</v>
      </c>
    </row>
    <row r="36" spans="1:12" ht="18" customHeight="1">
      <c r="A36" s="282"/>
      <c r="B36" s="293">
        <v>10000</v>
      </c>
      <c r="C36" s="284" t="s">
        <v>149</v>
      </c>
    </row>
    <row r="37" spans="1:12" ht="18" customHeight="1" thickBot="1">
      <c r="A37" s="295"/>
      <c r="B37" s="297">
        <v>18000</v>
      </c>
      <c r="C37" s="296" t="s">
        <v>147</v>
      </c>
    </row>
    <row r="38" spans="1:12" ht="18" customHeight="1"/>
    <row r="39" spans="1:12" ht="18" customHeight="1"/>
    <row r="40" spans="1:12" ht="18" customHeight="1"/>
    <row r="41" spans="1:12" ht="18" customHeight="1"/>
    <row r="42" spans="1:12" ht="18" customHeight="1"/>
    <row r="43" spans="1:12" ht="18" customHeight="1"/>
    <row r="44" spans="1:12" ht="18" customHeight="1"/>
    <row r="45" spans="1:12" ht="18" customHeight="1"/>
    <row r="46" spans="1:12" ht="18" customHeight="1"/>
    <row r="47" spans="1:12" ht="18" customHeight="1"/>
    <row r="48" spans="1:12" ht="18" customHeight="1"/>
    <row r="49" s="552" customFormat="1" ht="18" customHeight="1"/>
    <row r="50" s="552" customFormat="1" ht="18" customHeight="1"/>
    <row r="51" s="552" customFormat="1" ht="18" customHeight="1"/>
    <row r="52" s="552" customFormat="1" ht="18" customHeight="1"/>
  </sheetData>
  <sheetProtection selectLockedCells="1"/>
  <pageMargins left="0.75" right="0.75" top="1" bottom="1" header="0.5" footer="0.5"/>
  <pageSetup scale="90" fitToHeight="10" orientation="portrait" r:id="rId1"/>
  <headerFooter alignWithMargins="0">
    <oddFooter>&amp;L&amp;D&amp;R&amp;F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7A590758E2CF4A817390D864AB50EC" ma:contentTypeVersion="12" ma:contentTypeDescription="Create a new document." ma:contentTypeScope="" ma:versionID="3d4f53d46c305435484ffbd422d955ea">
  <xsd:schema xmlns:xsd="http://www.w3.org/2001/XMLSchema" xmlns:xs="http://www.w3.org/2001/XMLSchema" xmlns:p="http://schemas.microsoft.com/office/2006/metadata/properties" xmlns:ns2="0ec06477-b7d8-469b-9269-04b303ff75be" xmlns:ns3="c1e2d6dd-49dc-467a-a612-23768a37859a" targetNamespace="http://schemas.microsoft.com/office/2006/metadata/properties" ma:root="true" ma:fieldsID="c1ce6e03d5d8ef1fd45995a46e1d321a" ns2:_="" ns3:_="">
    <xsd:import namespace="0ec06477-b7d8-469b-9269-04b303ff75be"/>
    <xsd:import namespace="c1e2d6dd-49dc-467a-a612-23768a3785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c06477-b7d8-469b-9269-04b303ff7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e2d6dd-49dc-467a-a612-23768a3785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de71368-4e41-45b8-a109-8ddefbf00b0e}" ma:internalName="TaxCatchAll" ma:showField="CatchAllData" ma:web="c1e2d6dd-49dc-467a-a612-23768a3785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B4C435-2F2F-4416-8D0A-C5E33211DADA}">
  <ds:schemaRefs>
    <ds:schemaRef ds:uri="http://schemas.microsoft.com/sharepoint/v3/contenttype/forms"/>
  </ds:schemaRefs>
</ds:datastoreItem>
</file>

<file path=customXml/itemProps2.xml><?xml version="1.0" encoding="utf-8"?>
<ds:datastoreItem xmlns:ds="http://schemas.openxmlformats.org/officeDocument/2006/customXml" ds:itemID="{CACC8C50-8F04-4FBB-8949-89065EFCE6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c06477-b7d8-469b-9269-04b303ff75be"/>
    <ds:schemaRef ds:uri="c1e2d6dd-49dc-467a-a612-23768a3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Project Description</vt:lpstr>
      <vt:lpstr>Travel Forecasts Input</vt:lpstr>
      <vt:lpstr>Travel Forecasts for Evaluation</vt:lpstr>
      <vt:lpstr>Mobility Cost Eff &amp; Cong Relief</vt:lpstr>
      <vt:lpstr>Land Use</vt:lpstr>
      <vt:lpstr>Environmental Benefits</vt:lpstr>
      <vt:lpstr>Finance</vt:lpstr>
      <vt:lpstr>Rating Estimation</vt:lpstr>
      <vt:lpstr>Lookups</vt:lpstr>
      <vt:lpstr>doesntMeetThresholds</vt:lpstr>
      <vt:lpstr>'Environmental Benefits'!Print_Area</vt:lpstr>
      <vt:lpstr>Finance!Print_Area</vt:lpstr>
      <vt:lpstr>'Land Use'!Print_Area</vt:lpstr>
      <vt:lpstr>Lookups!Print_Area</vt:lpstr>
      <vt:lpstr>'Mobility Cost Eff &amp; Cong Relief'!Print_Area</vt:lpstr>
      <vt:lpstr>'Project Description'!Print_Area</vt:lpstr>
      <vt:lpstr>'Travel Forecasts for Evaluation'!Print_Area</vt:lpstr>
      <vt:lpstr>'Travel Forecasts Input'!Print_Area</vt:lpstr>
      <vt:lpstr>warrantedMedium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2026 New Starts Templates Part 1</dc:title>
  <dc:subject>DOT is committed to ensuring that information is available in appropriate alternative formats to meet the requirements of persons who have a disability. If you require an alternative version of this file, please contact FTAWebAccessibility@dot.gov.</dc:subject>
  <dc:creator>DOT - Federal Transit Administration</dc:creator>
  <cp:keywords/>
  <dc:description/>
  <cp:lastModifiedBy>Haney, Heather (FTA)</cp:lastModifiedBy>
  <cp:revision/>
  <dcterms:created xsi:type="dcterms:W3CDTF">2000-06-21T19:34:03Z</dcterms:created>
  <dcterms:modified xsi:type="dcterms:W3CDTF">2024-04-30T18:48:31Z</dcterms:modified>
  <cp:category/>
  <cp:contentStatus/>
</cp:coreProperties>
</file>