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4 Full Year Formula Apportionments\FY 2024 Full Year Tables for TCA posting\"/>
    </mc:Choice>
  </mc:AlternateContent>
  <xr:revisionPtr revIDLastSave="0" documentId="13_ncr:1_{DBF30BFD-1ABB-4E53-9048-0BCA3E065327}" xr6:coauthVersionLast="47" xr6:coauthVersionMax="47" xr10:uidLastSave="{00000000-0000-0000-0000-000000000000}"/>
  <bookViews>
    <workbookView xWindow="-120" yWindow="-120" windowWidth="29040" windowHeight="15840" xr2:uid="{04617960-705C-436B-AFA2-6E1B2E41189A}"/>
  </bookViews>
  <sheets>
    <sheet name="FY 2024 Full Year Table 1" sheetId="3" r:id="rId1"/>
  </sheets>
  <definedNames>
    <definedName name="_xlnm.Print_Area" localSheetId="0">'FY 2024 Full Year Table 1'!$A$1:$D$179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6" i="3" l="1"/>
  <c r="D171" i="3"/>
  <c r="D170" i="3"/>
  <c r="D163" i="3"/>
  <c r="D162" i="3"/>
  <c r="D164" i="3" s="1"/>
  <c r="D157" i="3"/>
  <c r="D150" i="3"/>
  <c r="D144" i="3"/>
  <c r="D138" i="3"/>
  <c r="D135" i="3"/>
  <c r="D132" i="3"/>
  <c r="D126" i="3"/>
  <c r="D120" i="3"/>
  <c r="D116" i="3"/>
  <c r="D115" i="3"/>
  <c r="D114" i="3"/>
  <c r="D111" i="3"/>
  <c r="D110" i="3"/>
  <c r="D109" i="3"/>
  <c r="D106" i="3"/>
  <c r="D98" i="3"/>
  <c r="D101" i="3" s="1"/>
  <c r="D95" i="3"/>
  <c r="D91" i="3"/>
  <c r="D90" i="3"/>
  <c r="D87" i="3"/>
  <c r="D82" i="3"/>
  <c r="D77" i="3"/>
  <c r="D73" i="3"/>
  <c r="D67" i="3"/>
  <c r="D65" i="3"/>
  <c r="D68" i="3" s="1"/>
  <c r="D61" i="3"/>
  <c r="D59" i="3"/>
  <c r="D58" i="3"/>
  <c r="D57" i="3"/>
  <c r="D54" i="3"/>
  <c r="D46" i="3"/>
  <c r="D45" i="3"/>
  <c r="D50" i="3" s="1"/>
  <c r="D44" i="3"/>
  <c r="D39" i="3"/>
  <c r="D41" i="3" s="1"/>
  <c r="D36" i="3"/>
  <c r="D29" i="3"/>
  <c r="D27" i="3"/>
  <c r="D26" i="3"/>
  <c r="D25" i="3"/>
  <c r="D31" i="3" s="1"/>
  <c r="D21" i="3"/>
  <c r="D16" i="3"/>
  <c r="D15" i="3"/>
  <c r="D17" i="3" s="1"/>
  <c r="D10" i="3"/>
  <c r="D9" i="3"/>
  <c r="D178" i="3" s="1"/>
  <c r="D12" i="3" l="1"/>
  <c r="D179" i="3" s="1"/>
</calcChain>
</file>

<file path=xl/sharedStrings.xml><?xml version="1.0" encoding="utf-8"?>
<sst xmlns="http://schemas.openxmlformats.org/spreadsheetml/2006/main" count="145" uniqueCount="67">
  <si>
    <t>FEDERAL TRANSIT ADMINISTRATION</t>
  </si>
  <si>
    <t>TABLE 1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</si>
  <si>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</si>
  <si>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>PROGRAM</t>
  </si>
  <si>
    <t>Section 5303 Metropolitan Transportation Planning Program</t>
  </si>
  <si>
    <t>Total FY 2024 Available</t>
  </si>
  <si>
    <t>Less FY 2024 Oversight</t>
  </si>
  <si>
    <t>Reapportioned Funds</t>
  </si>
  <si>
    <t>Total Available for Allocation</t>
  </si>
  <si>
    <t xml:space="preserve">Section 5304 Statewide Transportation Planning Program </t>
  </si>
  <si>
    <t xml:space="preserve">Less FY 2024 Oversight </t>
  </si>
  <si>
    <t>Transit Oriented Development Planning (Competitive pilot)</t>
  </si>
  <si>
    <t xml:space="preserve">Section 5307 Urbanized Area Formula Program </t>
  </si>
  <si>
    <t>Less FY 2024 State Safety Oversight Program</t>
  </si>
  <si>
    <t>Less FY 2024 Ferry Competitive Program</t>
  </si>
  <si>
    <t>Section 5340 High Density States</t>
  </si>
  <si>
    <t>Section 5340 Growing States</t>
  </si>
  <si>
    <t>Section 5307 Passenger Ferry Grant Program</t>
  </si>
  <si>
    <t>Section 5329 State Safety Oversight Program</t>
  </si>
  <si>
    <t>Section 5310 Enhanced Mobility of Seniors and Individuals with Disabilities</t>
  </si>
  <si>
    <t>Less FY 2024 Oversight and Administrative</t>
  </si>
  <si>
    <t>Less FY 2024 Transfer to OIG</t>
  </si>
  <si>
    <t>Reapportioned Funds to Large Urbanized Areas</t>
  </si>
  <si>
    <t>Reapportioned Funds to Small Urbanized Areas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</si>
  <si>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</si>
  <si>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</si>
  <si>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</si>
  <si>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</si>
  <si>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>Section 5311(c)(2)(B) Public Transportation on Indian Reservations Formula</t>
  </si>
  <si>
    <t>Section 5311(c)(2)(A) Public Transportation on Indian Reservations Competitive</t>
  </si>
  <si>
    <t>Section 5311(c)(3) Appalachian Development Public Transportation Assistance Program</t>
  </si>
  <si>
    <t xml:space="preserve">Total Available for Allocation  </t>
  </si>
  <si>
    <t>Section 5314 Technical Assistance and Workforce Development</t>
  </si>
  <si>
    <t>National Transit Institute</t>
  </si>
  <si>
    <t>Section 5318 Bus Testing Facilities</t>
  </si>
  <si>
    <t xml:space="preserve">Section 5337 State of Good Repair </t>
  </si>
  <si>
    <t>Total FY 2024 Rail Replacement Competitive Grants</t>
  </si>
  <si>
    <t>Reapportioned Funds for Fixed Guideway</t>
  </si>
  <si>
    <t>Total FY 2024 Available High Intensity Fixed Guideway Formula</t>
  </si>
  <si>
    <t>Total FY 2024 Available High Intensity Motorbus Formula</t>
  </si>
  <si>
    <t>Section 5337 State of Good Repair Rail Replacement Competitive Grants</t>
  </si>
  <si>
    <t>Section 5339 Buses and Bus Facilities Formula</t>
  </si>
  <si>
    <t xml:space="preserve">Section 5339 Buses and Bus Facilities Competitive </t>
  </si>
  <si>
    <t>Less FY 2024 Low or No Emission</t>
  </si>
  <si>
    <t>Section 5339(c) Low or No Emission Grants (Competitive)</t>
  </si>
  <si>
    <t>Less FY 2024 Oversight and Admin</t>
  </si>
  <si>
    <t>Division J All Stations Accessibility Program</t>
  </si>
  <si>
    <t>Section 71102 Electric or Low-Emitting Ferry Program</t>
  </si>
  <si>
    <t>Section 71103 Ferry Service for Rural Communities</t>
  </si>
  <si>
    <t>Section 5309 Capital Investment Grants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</si>
  <si>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</si>
  <si>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</si>
  <si>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</si>
  <si>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FY 2024 FULL YEAR APPROPRIATIONS AND APPORTIONMENTS FOR GRANT PROGRAMS</t>
  </si>
  <si>
    <t xml:space="preserve">FY 2024 Authorized </t>
  </si>
  <si>
    <t>FY 2024 Additional Appropriation</t>
  </si>
  <si>
    <t>Reapportioned Funds to Rural Areas</t>
  </si>
  <si>
    <t>Section 5312 Public Transportation Innovation--Transit Research</t>
  </si>
  <si>
    <t>Section 5312 (h) Public Transportation Innovation--Component and Low or No Emission Testing</t>
  </si>
  <si>
    <t>Section 5312 Public Transportation Innovation--Transit Cooperative Research</t>
  </si>
  <si>
    <t>Reapportioned Funds (Bus Formula)</t>
  </si>
  <si>
    <t xml:space="preserve">Total FY 2024 Authorized </t>
  </si>
  <si>
    <t>Community Project Funding/Congressionally Directed Spending</t>
  </si>
  <si>
    <t>FY2024 Additional National RTAP Appropriation for Tribes</t>
  </si>
  <si>
    <t>Less Additional National RTAP Appropriation for Tribes</t>
  </si>
  <si>
    <t>The amount apportioned in this notice includes funding authorized under the Bipartisan Infrastructure Law, enacted as the Infrastructure Investment and Jobs Act (Pub. L. 117-58), and is based on funding made available under the Consolidated Appropriations Act, 2024 (H.R. 4366 / Public Law 118-42, March 9, 2024).</t>
  </si>
  <si>
    <t>Updated 04/01/2024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</si>
</sst>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sz val="16"/>
      <name val="Helvetica"/>
      <family val="2"/>
    </font>
    <font>
      <b/>
      <sz val="14"/>
      <color rgb="FFFF000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1"/>
      <name val="Calibri"/>
      <family val="2"/>
      <scheme val="minor"/>
    </font>
    <font>
      <sz val="14"/>
      <color rgb="FF000000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/>
    <xf numFmtId="0" fontId="7" fillId="0" borderId="0" xfId="0" applyFont="1"/>
    <xf numFmtId="43" fontId="7" fillId="0" borderId="0" xfId="1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0" xfId="0" applyFont="1"/>
    <xf numFmtId="164" fontId="10" fillId="0" borderId="0" xfId="0" applyNumberFormat="1" applyFont="1"/>
    <xf numFmtId="37" fontId="11" fillId="0" borderId="10" xfId="0" applyNumberFormat="1" applyFont="1" applyBorder="1"/>
    <xf numFmtId="0" fontId="6" fillId="0" borderId="10" xfId="0" applyFont="1" applyBorder="1"/>
    <xf numFmtId="0" fontId="12" fillId="0" borderId="10" xfId="0" applyFont="1" applyBorder="1"/>
    <xf numFmtId="0" fontId="11" fillId="0" borderId="10" xfId="0" applyFont="1" applyBorder="1"/>
    <xf numFmtId="0" fontId="12" fillId="0" borderId="14" xfId="0" applyFont="1" applyBorder="1"/>
    <xf numFmtId="0" fontId="12" fillId="0" borderId="15" xfId="0" applyFont="1" applyBorder="1"/>
    <xf numFmtId="0" fontId="17" fillId="0" borderId="0" xfId="0" applyFont="1"/>
    <xf numFmtId="0" fontId="15" fillId="0" borderId="15" xfId="0" applyFont="1" applyBorder="1" applyAlignment="1">
      <alignment wrapText="1"/>
    </xf>
    <xf numFmtId="0" fontId="12" fillId="0" borderId="21" xfId="0" applyFont="1" applyBorder="1"/>
    <xf numFmtId="0" fontId="18" fillId="0" borderId="15" xfId="0" applyFont="1" applyBorder="1"/>
    <xf numFmtId="0" fontId="18" fillId="0" borderId="0" xfId="0" applyFont="1"/>
    <xf numFmtId="0" fontId="10" fillId="0" borderId="14" xfId="0" applyFont="1" applyBorder="1"/>
    <xf numFmtId="0" fontId="10" fillId="0" borderId="15" xfId="0" applyFont="1" applyBorder="1"/>
    <xf numFmtId="0" fontId="9" fillId="0" borderId="14" xfId="0" applyFont="1" applyBorder="1"/>
    <xf numFmtId="0" fontId="19" fillId="0" borderId="15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27" xfId="0" applyFont="1" applyBorder="1"/>
    <xf numFmtId="0" fontId="20" fillId="0" borderId="15" xfId="0" applyFont="1" applyBorder="1"/>
    <xf numFmtId="0" fontId="11" fillId="0" borderId="25" xfId="0" applyFont="1" applyBorder="1"/>
    <xf numFmtId="0" fontId="11" fillId="0" borderId="0" xfId="0" applyFont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5" xfId="0" applyFont="1" applyBorder="1"/>
    <xf numFmtId="0" fontId="12" fillId="0" borderId="36" xfId="0" applyFont="1" applyBorder="1"/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64" fontId="0" fillId="0" borderId="0" xfId="0" applyNumberFormat="1"/>
    <xf numFmtId="0" fontId="12" fillId="0" borderId="0" xfId="0" applyFont="1"/>
    <xf numFmtId="0" fontId="0" fillId="0" borderId="0" xfId="0"/>
    <xf numFmtId="0" fontId="6" fillId="0" borderId="0" xfId="0" applyFont="1"/>
    <xf numFmtId="0" fontId="11" fillId="0" borderId="14" xfId="0" applyFont="1" applyBorder="1"/>
    <xf numFmtId="0" fontId="15" fillId="0" borderId="15" xfId="0" applyFont="1" applyBorder="1"/>
    <xf numFmtId="0" fontId="6" fillId="0" borderId="0" xfId="0" applyFont="1" applyAlignment="1">
      <alignment wrapText="1"/>
    </xf>
    <xf numFmtId="14" fontId="0" fillId="0" borderId="0" xfId="1" applyNumberFormat="1" applyFont="1" applyFill="1" applyAlignment="1">
      <alignment vertical="top"/>
    </xf>
    <xf numFmtId="0" fontId="0" fillId="0" borderId="0" xfId="0" applyAlignment="1">
      <alignment vertical="top"/>
    </xf>
    <xf numFmtId="43" fontId="0" fillId="0" borderId="0" xfId="1" applyFont="1" applyFill="1" applyAlignment="1">
      <alignment vertical="top"/>
    </xf>
    <xf numFmtId="43" fontId="7" fillId="0" borderId="0" xfId="1" applyFont="1" applyFill="1" applyAlignment="1">
      <alignment vertical="top"/>
    </xf>
    <xf numFmtId="0" fontId="7" fillId="0" borderId="0" xfId="0" applyFont="1" applyAlignment="1">
      <alignment vertical="top"/>
    </xf>
    <xf numFmtId="43" fontId="10" fillId="0" borderId="0" xfId="1" applyFont="1" applyFill="1" applyBorder="1" applyAlignment="1" applyProtection="1">
      <alignment vertical="top"/>
    </xf>
    <xf numFmtId="0" fontId="0" fillId="0" borderId="0" xfId="0" applyAlignment="1">
      <alignment wrapText="1"/>
    </xf>
    <xf numFmtId="43" fontId="10" fillId="0" borderId="0" xfId="1" applyFont="1" applyFill="1" applyBorder="1" applyAlignment="1" applyProtection="1">
      <alignment horizontal="left"/>
    </xf>
    <xf numFmtId="0" fontId="0" fillId="0" borderId="0" xfId="0" applyAlignment="1">
      <alignment horizontal="left" wrapText="1"/>
    </xf>
    <xf numFmtId="43" fontId="0" fillId="0" borderId="0" xfId="0" applyNumberFormat="1"/>
    <xf numFmtId="43" fontId="2" fillId="0" borderId="0" xfId="1" applyFont="1" applyFill="1" applyAlignment="1">
      <alignment vertical="top"/>
    </xf>
    <xf numFmtId="0" fontId="12" fillId="0" borderId="38" xfId="0" applyFont="1" applyBorder="1"/>
    <xf numFmtId="43" fontId="0" fillId="0" borderId="0" xfId="0" applyNumberFormat="1" applyAlignment="1">
      <alignment horizontal="left" wrapText="1"/>
    </xf>
    <xf numFmtId="43" fontId="10" fillId="0" borderId="0" xfId="1" applyFont="1" applyFill="1" applyBorder="1" applyAlignment="1" applyProtection="1"/>
    <xf numFmtId="0" fontId="10" fillId="0" borderId="33" xfId="0" applyFont="1" applyBorder="1"/>
    <xf numFmtId="165" fontId="8" fillId="0" borderId="3" xfId="1" applyNumberFormat="1" applyFont="1" applyFill="1" applyBorder="1" applyAlignment="1" applyProtection="1">
      <alignment horizontal="center" vertical="center"/>
    </xf>
    <xf numFmtId="165" fontId="10" fillId="0" borderId="11" xfId="1" applyNumberFormat="1" applyFont="1" applyFill="1" applyBorder="1" applyProtection="1"/>
    <xf numFmtId="165" fontId="10" fillId="0" borderId="11" xfId="1" applyNumberFormat="1" applyFont="1" applyFill="1" applyBorder="1"/>
    <xf numFmtId="165" fontId="10" fillId="0" borderId="12" xfId="1" applyNumberFormat="1" applyFont="1" applyFill="1" applyBorder="1"/>
    <xf numFmtId="165" fontId="10" fillId="0" borderId="11" xfId="1" applyNumberFormat="1" applyFont="1" applyFill="1" applyBorder="1" applyProtection="1">
      <protection locked="0"/>
    </xf>
    <xf numFmtId="165" fontId="10" fillId="0" borderId="12" xfId="1" applyNumberFormat="1" applyFont="1" applyFill="1" applyBorder="1" applyProtection="1"/>
    <xf numFmtId="165" fontId="13" fillId="0" borderId="11" xfId="1" applyNumberFormat="1" applyFont="1" applyFill="1" applyBorder="1" applyProtection="1"/>
    <xf numFmtId="165" fontId="10" fillId="0" borderId="13" xfId="1" applyNumberFormat="1" applyFont="1" applyFill="1" applyBorder="1" applyProtection="1"/>
    <xf numFmtId="165" fontId="14" fillId="0" borderId="11" xfId="1" applyNumberFormat="1" applyFont="1" applyFill="1" applyBorder="1" applyAlignment="1">
      <alignment wrapText="1"/>
    </xf>
    <xf numFmtId="165" fontId="10" fillId="0" borderId="16" xfId="1" applyNumberFormat="1" applyFont="1" applyFill="1" applyBorder="1" applyProtection="1"/>
    <xf numFmtId="165" fontId="10" fillId="0" borderId="17" xfId="1" applyNumberFormat="1" applyFont="1" applyFill="1" applyBorder="1" applyProtection="1"/>
    <xf numFmtId="165" fontId="10" fillId="0" borderId="18" xfId="1" applyNumberFormat="1" applyFont="1" applyFill="1" applyBorder="1" applyProtection="1"/>
    <xf numFmtId="165" fontId="13" fillId="0" borderId="16" xfId="1" applyNumberFormat="1" applyFont="1" applyFill="1" applyBorder="1" applyProtection="1"/>
    <xf numFmtId="165" fontId="16" fillId="0" borderId="11" xfId="1" applyNumberFormat="1" applyFont="1" applyFill="1" applyBorder="1" applyProtection="1"/>
    <xf numFmtId="165" fontId="13" fillId="0" borderId="11" xfId="1" applyNumberFormat="1" applyFont="1" applyFill="1" applyBorder="1"/>
    <xf numFmtId="165" fontId="12" fillId="0" borderId="11" xfId="1" applyNumberFormat="1" applyFont="1" applyFill="1" applyBorder="1" applyProtection="1"/>
    <xf numFmtId="165" fontId="12" fillId="0" borderId="11" xfId="1" applyNumberFormat="1" applyFont="1" applyFill="1" applyBorder="1"/>
    <xf numFmtId="165" fontId="10" fillId="0" borderId="19" xfId="1" applyNumberFormat="1" applyFont="1" applyFill="1" applyBorder="1" applyProtection="1"/>
    <xf numFmtId="165" fontId="13" fillId="0" borderId="20" xfId="1" applyNumberFormat="1" applyFont="1" applyFill="1" applyBorder="1" applyProtection="1"/>
    <xf numFmtId="165" fontId="10" fillId="0" borderId="22" xfId="1" applyNumberFormat="1" applyFont="1" applyFill="1" applyBorder="1" applyProtection="1"/>
    <xf numFmtId="165" fontId="10" fillId="0" borderId="20" xfId="1" applyNumberFormat="1" applyFont="1" applyFill="1" applyBorder="1" applyProtection="1"/>
    <xf numFmtId="165" fontId="2" fillId="0" borderId="23" xfId="1" applyNumberFormat="1" applyFont="1" applyFill="1" applyBorder="1"/>
    <xf numFmtId="165" fontId="13" fillId="0" borderId="16" xfId="1" applyNumberFormat="1" applyFont="1" applyFill="1" applyBorder="1"/>
    <xf numFmtId="165" fontId="10" fillId="0" borderId="6" xfId="1" applyNumberFormat="1" applyFont="1" applyFill="1" applyBorder="1" applyProtection="1"/>
    <xf numFmtId="165" fontId="1" fillId="0" borderId="28" xfId="1" applyNumberFormat="1" applyFont="1" applyFill="1" applyBorder="1"/>
    <xf numFmtId="165" fontId="10" fillId="0" borderId="29" xfId="1" applyNumberFormat="1" applyFont="1" applyFill="1" applyBorder="1"/>
    <xf numFmtId="165" fontId="12" fillId="0" borderId="34" xfId="1" applyNumberFormat="1" applyFont="1" applyFill="1" applyBorder="1"/>
    <xf numFmtId="165" fontId="12" fillId="0" borderId="22" xfId="1" applyNumberFormat="1" applyFont="1" applyFill="1" applyBorder="1"/>
    <xf numFmtId="165" fontId="12" fillId="0" borderId="37" xfId="1" applyNumberFormat="1" applyFont="1" applyFill="1" applyBorder="1"/>
    <xf numFmtId="165" fontId="12" fillId="0" borderId="6" xfId="1" applyNumberFormat="1" applyFont="1" applyFill="1" applyBorder="1"/>
    <xf numFmtId="165" fontId="8" fillId="0" borderId="9" xfId="1" applyNumberFormat="1" applyFont="1" applyFill="1" applyBorder="1" applyAlignment="1" applyProtection="1">
      <alignment horizontal="center" vertical="center"/>
    </xf>
    <xf numFmtId="165" fontId="12" fillId="0" borderId="11" xfId="1" applyNumberFormat="1" applyFont="1" applyFill="1" applyBorder="1" applyAlignment="1" applyProtection="1"/>
    <xf numFmtId="165" fontId="12" fillId="0" borderId="19" xfId="1" applyNumberFormat="1" applyFont="1" applyFill="1" applyBorder="1" applyProtection="1"/>
    <xf numFmtId="165" fontId="12" fillId="0" borderId="12" xfId="1" applyNumberFormat="1" applyFont="1" applyFill="1" applyBorder="1" applyProtection="1"/>
    <xf numFmtId="165" fontId="21" fillId="0" borderId="3" xfId="1" applyNumberFormat="1" applyFont="1" applyFill="1" applyBorder="1" applyAlignment="1" applyProtection="1">
      <alignment vertical="center"/>
    </xf>
    <xf numFmtId="165" fontId="21" fillId="0" borderId="6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/>
    <xf numFmtId="0" fontId="12" fillId="0" borderId="0" xfId="0" applyFont="1"/>
    <xf numFmtId="0" fontId="0" fillId="0" borderId="0" xfId="0"/>
    <xf numFmtId="0" fontId="12" fillId="0" borderId="24" xfId="0" applyFont="1" applyBorder="1"/>
    <xf numFmtId="0" fontId="0" fillId="0" borderId="24" xfId="0" applyBorder="1"/>
    <xf numFmtId="0" fontId="9" fillId="0" borderId="1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6" fillId="0" borderId="0" xfId="0" applyFont="1"/>
    <xf numFmtId="0" fontId="11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11" fillId="0" borderId="14" xfId="0" applyFont="1" applyBorder="1"/>
    <xf numFmtId="0" fontId="15" fillId="0" borderId="15" xfId="0" applyFont="1" applyBorder="1"/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8D19-95F5-4C01-8F9B-D8734D4F486E}">
  <sheetPr>
    <pageSetUpPr fitToPage="1"/>
  </sheetPr>
  <dimension ref="A1:I180"/>
  <sheetViews>
    <sheetView tabSelected="1" zoomScaleNormal="100" workbookViewId="0">
      <selection activeCell="A6" sqref="A6:D6"/>
    </sheetView>
  </sheetViews>
  <sheetFormatPr defaultColWidth="9.28515625" defaultRowHeight="15" x14ac:dyDescent="0.25"/>
  <cols>
    <col min="1" max="1" width="43.7109375" style="46" customWidth="1"/>
    <col min="2" max="2" width="41" style="46" customWidth="1"/>
    <col min="3" max="3" width="40" style="46" customWidth="1"/>
    <col min="4" max="4" width="34.42578125" style="102" customWidth="1"/>
    <col min="5" max="5" width="13.5703125" style="46" bestFit="1" customWidth="1"/>
    <col min="6" max="6" width="34.42578125" style="61" customWidth="1"/>
    <col min="7" max="7" width="21.28515625" style="52" customWidth="1"/>
    <col min="8" max="8" width="73.5703125" style="3" customWidth="1"/>
    <col min="9" max="9" width="16.5703125" style="46" bestFit="1" customWidth="1"/>
    <col min="10" max="16384" width="9.28515625" style="46"/>
  </cols>
  <sheetData>
    <row r="1" spans="1:8" s="1" customFormat="1" x14ac:dyDescent="0.25">
      <c r="A1" s="118" t="s">
        <v>0</v>
      </c>
      <c r="B1" s="119"/>
      <c r="C1" s="119"/>
      <c r="D1" s="120"/>
      <c r="F1" s="51"/>
      <c r="G1" s="52"/>
      <c r="H1" s="2"/>
    </row>
    <row r="2" spans="1:8" s="1" customFormat="1" ht="15.75" thickBot="1" x14ac:dyDescent="0.3">
      <c r="A2" s="121" t="s">
        <v>1</v>
      </c>
      <c r="B2" s="122"/>
      <c r="C2" s="122"/>
      <c r="D2" s="123"/>
      <c r="F2" s="53"/>
      <c r="G2" s="52"/>
      <c r="H2" s="2"/>
    </row>
    <row r="3" spans="1:8" ht="15.75" thickBot="1" x14ac:dyDescent="0.3">
      <c r="A3" s="115" t="s">
        <v>53</v>
      </c>
      <c r="B3" s="116"/>
      <c r="C3" s="116"/>
      <c r="D3" s="117"/>
      <c r="F3" s="53"/>
    </row>
    <row r="4" spans="1:8" s="4" customFormat="1" ht="53.25" customHeight="1" thickBot="1" x14ac:dyDescent="0.35">
      <c r="A4" s="124" t="s">
        <v>65</v>
      </c>
      <c r="B4" s="125"/>
      <c r="C4" s="125" t="s">
        <v>2</v>
      </c>
      <c r="D4" s="126"/>
      <c r="F4" s="54"/>
      <c r="G4" s="55"/>
      <c r="H4" s="5"/>
    </row>
    <row r="5" spans="1:8" ht="15.75" thickBot="1" x14ac:dyDescent="0.3">
      <c r="A5" s="127" t="s">
        <v>66</v>
      </c>
      <c r="B5" s="125"/>
      <c r="C5" s="125"/>
      <c r="D5" s="126"/>
      <c r="F5" s="52"/>
      <c r="H5" s="46"/>
    </row>
    <row r="6" spans="1:8" ht="15.75" thickBot="1" x14ac:dyDescent="0.3">
      <c r="A6" s="115" t="s">
        <v>3</v>
      </c>
      <c r="B6" s="116"/>
      <c r="C6" s="116"/>
      <c r="D6" s="117"/>
      <c r="F6" s="52"/>
      <c r="H6" s="46"/>
    </row>
    <row r="7" spans="1:8" ht="18" x14ac:dyDescent="0.25">
      <c r="A7" s="6"/>
      <c r="B7" s="7"/>
      <c r="C7" s="7"/>
      <c r="D7" s="66"/>
      <c r="F7" s="56"/>
      <c r="H7" s="46"/>
    </row>
    <row r="8" spans="1:8" ht="18" x14ac:dyDescent="0.25">
      <c r="A8" s="107" t="s">
        <v>4</v>
      </c>
      <c r="B8" s="108"/>
      <c r="C8" s="108"/>
      <c r="D8" s="109"/>
      <c r="F8" s="56"/>
      <c r="H8" s="46"/>
    </row>
    <row r="9" spans="1:8" ht="18" x14ac:dyDescent="0.25">
      <c r="A9" s="8"/>
      <c r="B9" s="9" t="s">
        <v>5</v>
      </c>
      <c r="C9" s="9"/>
      <c r="D9" s="67">
        <f>159202723-D10</f>
        <v>160002736</v>
      </c>
      <c r="F9" s="56"/>
      <c r="H9" s="46"/>
    </row>
    <row r="10" spans="1:8" ht="18" x14ac:dyDescent="0.25">
      <c r="A10" s="8"/>
      <c r="B10" s="9" t="s">
        <v>6</v>
      </c>
      <c r="C10" s="9"/>
      <c r="D10" s="68">
        <f>-ROUND(967135*0.8272,0)+1</f>
        <v>-800013</v>
      </c>
      <c r="F10" s="56"/>
      <c r="H10" s="46"/>
    </row>
    <row r="11" spans="1:8" ht="18" x14ac:dyDescent="0.25">
      <c r="A11" s="8"/>
      <c r="B11" s="9" t="s">
        <v>7</v>
      </c>
      <c r="C11" s="9"/>
      <c r="D11" s="69">
        <v>1151</v>
      </c>
      <c r="F11" s="56"/>
      <c r="H11" s="46"/>
    </row>
    <row r="12" spans="1:8" ht="18" x14ac:dyDescent="0.25">
      <c r="A12" s="8"/>
      <c r="B12" s="9" t="s">
        <v>8</v>
      </c>
      <c r="C12" s="9"/>
      <c r="D12" s="70">
        <f>SUM(D9:D11)</f>
        <v>159203874</v>
      </c>
      <c r="F12" s="56"/>
      <c r="H12" s="46"/>
    </row>
    <row r="13" spans="1:8" ht="18" x14ac:dyDescent="0.25">
      <c r="A13" s="8"/>
      <c r="B13" s="9"/>
      <c r="C13" s="9"/>
      <c r="D13" s="67"/>
      <c r="F13" s="56"/>
      <c r="H13" s="46"/>
    </row>
    <row r="14" spans="1:8" ht="18" x14ac:dyDescent="0.25">
      <c r="A14" s="107" t="s">
        <v>9</v>
      </c>
      <c r="B14" s="108"/>
      <c r="C14" s="108"/>
      <c r="D14" s="109"/>
      <c r="F14" s="56"/>
      <c r="H14" s="46"/>
    </row>
    <row r="15" spans="1:8" ht="18" x14ac:dyDescent="0.25">
      <c r="A15" s="8"/>
      <c r="B15" s="9" t="s">
        <v>5</v>
      </c>
      <c r="C15" s="10"/>
      <c r="D15" s="67">
        <f>33257048-D16</f>
        <v>33424169</v>
      </c>
      <c r="F15" s="56"/>
      <c r="H15" s="46"/>
    </row>
    <row r="16" spans="1:8" ht="18" x14ac:dyDescent="0.25">
      <c r="A16" s="8"/>
      <c r="B16" s="9" t="s">
        <v>10</v>
      </c>
      <c r="C16" s="9"/>
      <c r="D16" s="71">
        <f>-ROUND(967135*0.1728,0)</f>
        <v>-167121</v>
      </c>
      <c r="F16" s="56"/>
      <c r="H16" s="46"/>
    </row>
    <row r="17" spans="1:8" ht="18" x14ac:dyDescent="0.25">
      <c r="A17" s="8"/>
      <c r="B17" s="9" t="s">
        <v>8</v>
      </c>
      <c r="C17" s="9"/>
      <c r="D17" s="67">
        <f>SUM(D15:D16)</f>
        <v>33257048</v>
      </c>
      <c r="F17" s="56"/>
      <c r="H17" s="46"/>
    </row>
    <row r="18" spans="1:8" ht="18" x14ac:dyDescent="0.25">
      <c r="A18" s="8"/>
      <c r="B18" s="9"/>
      <c r="C18" s="9"/>
      <c r="D18" s="67"/>
      <c r="F18" s="56"/>
      <c r="H18" s="46"/>
    </row>
    <row r="19" spans="1:8" ht="18" x14ac:dyDescent="0.25">
      <c r="A19" s="11" t="s">
        <v>11</v>
      </c>
      <c r="B19" s="45"/>
      <c r="C19" s="45"/>
      <c r="D19" s="67"/>
      <c r="F19" s="56"/>
      <c r="H19" s="46"/>
    </row>
    <row r="20" spans="1:8" ht="18" x14ac:dyDescent="0.25">
      <c r="A20" s="12"/>
      <c r="B20" s="45" t="s">
        <v>5</v>
      </c>
      <c r="C20" s="45"/>
      <c r="D20" s="71">
        <v>13782778</v>
      </c>
      <c r="F20" s="56"/>
      <c r="H20" s="46"/>
    </row>
    <row r="21" spans="1:8" ht="18" x14ac:dyDescent="0.25">
      <c r="A21" s="12"/>
      <c r="B21" s="45" t="s">
        <v>8</v>
      </c>
      <c r="C21" s="45"/>
      <c r="D21" s="67">
        <f>D20</f>
        <v>13782778</v>
      </c>
      <c r="F21" s="56"/>
      <c r="H21" s="46"/>
    </row>
    <row r="22" spans="1:8" ht="18" x14ac:dyDescent="0.25">
      <c r="A22" s="13"/>
      <c r="B22" s="45"/>
      <c r="C22" s="45"/>
      <c r="D22" s="67"/>
      <c r="F22" s="56"/>
      <c r="H22" s="46"/>
    </row>
    <row r="23" spans="1:8" ht="18" x14ac:dyDescent="0.25">
      <c r="A23" s="14" t="s">
        <v>12</v>
      </c>
      <c r="B23" s="45"/>
      <c r="C23" s="45"/>
      <c r="D23" s="72"/>
      <c r="F23" s="56"/>
      <c r="H23" s="46"/>
    </row>
    <row r="24" spans="1:8" ht="18" x14ac:dyDescent="0.25">
      <c r="A24" s="13"/>
      <c r="B24" s="45" t="s">
        <v>5</v>
      </c>
      <c r="C24" s="45"/>
      <c r="D24" s="67">
        <v>6712987840</v>
      </c>
      <c r="F24" s="56"/>
      <c r="H24" s="46"/>
    </row>
    <row r="25" spans="1:8" ht="18" x14ac:dyDescent="0.25">
      <c r="A25" s="13"/>
      <c r="B25" s="103" t="s">
        <v>10</v>
      </c>
      <c r="C25" s="110"/>
      <c r="D25" s="67">
        <f>-ROUND($D$24*0.0075,0)</f>
        <v>-50347409</v>
      </c>
      <c r="F25" s="56"/>
      <c r="H25" s="46"/>
    </row>
    <row r="26" spans="1:8" ht="18" x14ac:dyDescent="0.25">
      <c r="A26" s="13"/>
      <c r="B26" s="103" t="s">
        <v>13</v>
      </c>
      <c r="C26" s="110"/>
      <c r="D26" s="67">
        <f>-ROUND($D$24*0.0075,0)</f>
        <v>-50347409</v>
      </c>
      <c r="F26" s="56"/>
      <c r="H26" s="46"/>
    </row>
    <row r="27" spans="1:8" ht="18" x14ac:dyDescent="0.25">
      <c r="A27" s="13"/>
      <c r="B27" s="45" t="s">
        <v>14</v>
      </c>
      <c r="C27" s="47"/>
      <c r="D27" s="67">
        <f>-30000000</f>
        <v>-30000000</v>
      </c>
      <c r="F27" s="56"/>
      <c r="H27" s="46"/>
    </row>
    <row r="28" spans="1:8" ht="18" x14ac:dyDescent="0.25">
      <c r="A28" s="13"/>
      <c r="B28" s="45" t="s">
        <v>15</v>
      </c>
      <c r="C28" s="45"/>
      <c r="D28" s="67">
        <v>364850518</v>
      </c>
      <c r="F28" s="56"/>
      <c r="H28" s="46"/>
    </row>
    <row r="29" spans="1:8" ht="18" x14ac:dyDescent="0.25">
      <c r="A29" s="13"/>
      <c r="B29" s="45" t="s">
        <v>16</v>
      </c>
      <c r="C29" s="45"/>
      <c r="D29" s="67">
        <f>ROUND(411427180*0.71422,0)</f>
        <v>293849520</v>
      </c>
      <c r="F29" s="56"/>
      <c r="H29" s="46"/>
    </row>
    <row r="30" spans="1:8" ht="18" x14ac:dyDescent="0.25">
      <c r="A30" s="13"/>
      <c r="B30" s="45" t="s">
        <v>7</v>
      </c>
      <c r="C30" s="45"/>
      <c r="D30" s="71">
        <v>4011500</v>
      </c>
      <c r="F30" s="56"/>
      <c r="H30" s="46"/>
    </row>
    <row r="31" spans="1:8" ht="18" x14ac:dyDescent="0.25">
      <c r="A31" s="13"/>
      <c r="B31" s="45" t="s">
        <v>8</v>
      </c>
      <c r="C31" s="45"/>
      <c r="D31" s="67">
        <f>SUM(D24:D30)</f>
        <v>7245004560</v>
      </c>
      <c r="F31" s="56"/>
      <c r="H31" s="46"/>
    </row>
    <row r="32" spans="1:8" ht="18" x14ac:dyDescent="0.25">
      <c r="A32" s="13"/>
      <c r="B32" s="45"/>
      <c r="C32" s="45"/>
      <c r="D32" s="67"/>
      <c r="F32" s="56"/>
      <c r="H32" s="46"/>
    </row>
    <row r="33" spans="1:8" ht="18" x14ac:dyDescent="0.25">
      <c r="A33" s="14" t="s">
        <v>17</v>
      </c>
      <c r="B33" s="45"/>
      <c r="C33" s="45"/>
      <c r="D33" s="67"/>
      <c r="F33" s="56"/>
      <c r="H33" s="46"/>
    </row>
    <row r="34" spans="1:8" ht="18" x14ac:dyDescent="0.25">
      <c r="A34" s="13"/>
      <c r="B34" s="45" t="s">
        <v>54</v>
      </c>
      <c r="C34" s="45"/>
      <c r="D34" s="67">
        <v>30000000</v>
      </c>
      <c r="F34" s="46"/>
      <c r="G34" s="46"/>
      <c r="H34" s="46"/>
    </row>
    <row r="35" spans="1:8" ht="18" x14ac:dyDescent="0.25">
      <c r="A35" s="13"/>
      <c r="B35" s="45" t="s">
        <v>55</v>
      </c>
      <c r="C35" s="45"/>
      <c r="D35" s="71">
        <v>21000000</v>
      </c>
      <c r="F35" s="56"/>
      <c r="H35" s="46"/>
    </row>
    <row r="36" spans="1:8" ht="18" x14ac:dyDescent="0.25">
      <c r="A36" s="13"/>
      <c r="B36" s="45" t="s">
        <v>8</v>
      </c>
      <c r="C36" s="45"/>
      <c r="D36" s="67">
        <f>SUM(D34:D35)</f>
        <v>51000000</v>
      </c>
      <c r="F36" s="56"/>
      <c r="H36" s="46"/>
    </row>
    <row r="37" spans="1:8" ht="18" x14ac:dyDescent="0.25">
      <c r="A37" s="13"/>
      <c r="B37" s="45"/>
      <c r="C37" s="45"/>
      <c r="D37" s="67"/>
      <c r="F37" s="56"/>
      <c r="H37" s="46"/>
    </row>
    <row r="38" spans="1:8" ht="18" x14ac:dyDescent="0.25">
      <c r="A38" s="14" t="s">
        <v>18</v>
      </c>
      <c r="B38" s="45"/>
      <c r="C38" s="45"/>
      <c r="D38" s="67"/>
      <c r="F38" s="56"/>
      <c r="H38" s="46"/>
    </row>
    <row r="39" spans="1:8" ht="18" x14ac:dyDescent="0.25">
      <c r="A39" s="13"/>
      <c r="B39" s="45" t="s">
        <v>5</v>
      </c>
      <c r="C39" s="45"/>
      <c r="D39" s="67">
        <f>ROUND($D$24*0.0075,0)</f>
        <v>50347409</v>
      </c>
      <c r="F39" s="56"/>
      <c r="H39" s="46"/>
    </row>
    <row r="40" spans="1:8" ht="18" x14ac:dyDescent="0.25">
      <c r="A40" s="13"/>
      <c r="B40" s="45" t="s">
        <v>7</v>
      </c>
      <c r="C40" s="45"/>
      <c r="D40" s="67">
        <v>774650</v>
      </c>
      <c r="F40" s="56"/>
      <c r="H40" s="46"/>
    </row>
    <row r="41" spans="1:8" ht="18" x14ac:dyDescent="0.25">
      <c r="A41" s="13"/>
      <c r="B41" s="45" t="s">
        <v>8</v>
      </c>
      <c r="C41" s="45"/>
      <c r="D41" s="73">
        <f>SUM(D39:D40)</f>
        <v>51122059</v>
      </c>
      <c r="F41" s="56"/>
      <c r="H41" s="46"/>
    </row>
    <row r="42" spans="1:8" ht="18" x14ac:dyDescent="0.25">
      <c r="A42" s="13"/>
      <c r="B42" s="45"/>
      <c r="C42" s="45"/>
      <c r="D42" s="67"/>
      <c r="F42" s="56"/>
      <c r="H42" s="46"/>
    </row>
    <row r="43" spans="1:8" ht="18" x14ac:dyDescent="0.25">
      <c r="A43" s="111" t="s">
        <v>19</v>
      </c>
      <c r="B43" s="112"/>
      <c r="C43" s="112"/>
      <c r="D43" s="74"/>
      <c r="F43" s="56"/>
      <c r="H43" s="46"/>
    </row>
    <row r="44" spans="1:8" ht="18" x14ac:dyDescent="0.25">
      <c r="A44" s="13"/>
      <c r="B44" s="45" t="s">
        <v>5</v>
      </c>
      <c r="C44" s="45"/>
      <c r="D44" s="67">
        <f>388899052+50000000</f>
        <v>438899052</v>
      </c>
      <c r="F44" s="56"/>
      <c r="H44" s="46"/>
    </row>
    <row r="45" spans="1:8" ht="18" x14ac:dyDescent="0.25">
      <c r="A45" s="13"/>
      <c r="B45" s="45" t="s">
        <v>20</v>
      </c>
      <c r="C45" s="45"/>
      <c r="D45" s="67">
        <f>-(1944495+995000)</f>
        <v>-2939495</v>
      </c>
      <c r="F45" s="56"/>
      <c r="H45" s="46"/>
    </row>
    <row r="46" spans="1:8" ht="18" x14ac:dyDescent="0.25">
      <c r="A46" s="13"/>
      <c r="B46" s="45" t="s">
        <v>21</v>
      </c>
      <c r="C46" s="45"/>
      <c r="D46" s="67">
        <f>-5000</f>
        <v>-5000</v>
      </c>
      <c r="F46" s="56"/>
      <c r="H46" s="46"/>
    </row>
    <row r="47" spans="1:8" ht="18" x14ac:dyDescent="0.25">
      <c r="A47" s="13"/>
      <c r="B47" s="45" t="s">
        <v>22</v>
      </c>
      <c r="C47" s="45"/>
      <c r="D47" s="67">
        <v>1881680</v>
      </c>
      <c r="F47" s="56"/>
      <c r="H47" s="46"/>
    </row>
    <row r="48" spans="1:8" ht="18" x14ac:dyDescent="0.25">
      <c r="A48" s="13"/>
      <c r="B48" s="45" t="s">
        <v>23</v>
      </c>
      <c r="C48" s="45"/>
      <c r="D48" s="67">
        <v>287337</v>
      </c>
      <c r="F48" s="56"/>
      <c r="H48" s="46"/>
    </row>
    <row r="49" spans="1:8" ht="18" x14ac:dyDescent="0.25">
      <c r="A49" s="13"/>
      <c r="B49" s="45" t="s">
        <v>56</v>
      </c>
      <c r="C49" s="45"/>
      <c r="D49" s="67">
        <v>66490</v>
      </c>
      <c r="F49" s="56"/>
      <c r="H49" s="46"/>
    </row>
    <row r="50" spans="1:8" ht="18" x14ac:dyDescent="0.25">
      <c r="A50" s="13"/>
      <c r="B50" s="45" t="s">
        <v>8</v>
      </c>
      <c r="C50" s="45"/>
      <c r="D50" s="73">
        <f>SUM(D44:D49)</f>
        <v>438190064</v>
      </c>
      <c r="F50" s="56"/>
      <c r="H50" s="46"/>
    </row>
    <row r="51" spans="1:8" ht="18" x14ac:dyDescent="0.25">
      <c r="A51" s="13"/>
      <c r="B51" s="45"/>
      <c r="C51" s="45"/>
      <c r="D51" s="67"/>
      <c r="F51" s="56"/>
      <c r="H51" s="46"/>
    </row>
    <row r="52" spans="1:8" ht="18" x14ac:dyDescent="0.25">
      <c r="A52" s="113" t="s">
        <v>24</v>
      </c>
      <c r="B52" s="114"/>
      <c r="C52" s="114"/>
      <c r="D52" s="75"/>
      <c r="F52" s="56"/>
      <c r="H52" s="46"/>
    </row>
    <row r="53" spans="1:8" ht="18" x14ac:dyDescent="0.25">
      <c r="A53" s="15"/>
      <c r="B53" s="16" t="s">
        <v>5</v>
      </c>
      <c r="C53" s="16"/>
      <c r="D53" s="76">
        <v>4823972</v>
      </c>
      <c r="F53" s="56"/>
      <c r="H53" s="46"/>
    </row>
    <row r="54" spans="1:8" ht="18" x14ac:dyDescent="0.25">
      <c r="A54" s="15"/>
      <c r="B54" s="16" t="s">
        <v>8</v>
      </c>
      <c r="C54" s="16"/>
      <c r="D54" s="77">
        <f>D53</f>
        <v>4823972</v>
      </c>
      <c r="F54" s="56"/>
      <c r="H54" s="46"/>
    </row>
    <row r="55" spans="1:8" ht="18" x14ac:dyDescent="0.25">
      <c r="A55" s="15"/>
      <c r="B55" s="16"/>
      <c r="C55" s="16"/>
      <c r="D55" s="75"/>
      <c r="F55" s="56"/>
      <c r="H55" s="46"/>
    </row>
    <row r="56" spans="1:8" ht="18" x14ac:dyDescent="0.25">
      <c r="A56" s="48" t="s">
        <v>25</v>
      </c>
      <c r="B56" s="16"/>
      <c r="C56" s="16"/>
      <c r="D56" s="78"/>
      <c r="F56" s="56"/>
      <c r="H56" s="46"/>
    </row>
    <row r="57" spans="1:8" ht="18" x14ac:dyDescent="0.25">
      <c r="A57" s="13"/>
      <c r="B57" s="45" t="s">
        <v>5</v>
      </c>
      <c r="C57" s="45"/>
      <c r="D57" s="67">
        <f>820632293+4584538</f>
        <v>825216831</v>
      </c>
      <c r="F57" s="56"/>
      <c r="H57" s="46"/>
    </row>
    <row r="58" spans="1:8" ht="18" x14ac:dyDescent="0.25">
      <c r="A58" s="13"/>
      <c r="B58" s="45" t="s">
        <v>6</v>
      </c>
      <c r="C58" s="45"/>
      <c r="D58" s="67">
        <f>-4584538</f>
        <v>-4584538</v>
      </c>
      <c r="F58" s="56"/>
      <c r="H58" s="46"/>
    </row>
    <row r="59" spans="1:8" ht="18" x14ac:dyDescent="0.25">
      <c r="A59" s="13"/>
      <c r="B59" s="45" t="s">
        <v>16</v>
      </c>
      <c r="C59" s="45"/>
      <c r="D59" s="79">
        <f>ROUND(411427180*0.28578,0)</f>
        <v>117577660</v>
      </c>
      <c r="F59" s="56"/>
      <c r="H59" s="46"/>
    </row>
    <row r="60" spans="1:8" ht="18" x14ac:dyDescent="0.25">
      <c r="A60" s="13"/>
      <c r="B60" s="45" t="s">
        <v>7</v>
      </c>
      <c r="C60" s="45"/>
      <c r="D60" s="67">
        <v>463370</v>
      </c>
      <c r="F60" s="56"/>
      <c r="H60" s="46"/>
    </row>
    <row r="61" spans="1:8" ht="18" x14ac:dyDescent="0.25">
      <c r="A61" s="13"/>
      <c r="B61" s="45" t="s">
        <v>8</v>
      </c>
      <c r="C61" s="45"/>
      <c r="D61" s="73">
        <f>SUM(D57:D60)</f>
        <v>938673323</v>
      </c>
      <c r="F61" s="56"/>
      <c r="H61" s="46"/>
    </row>
    <row r="62" spans="1:8" ht="18" x14ac:dyDescent="0.25">
      <c r="A62" s="13"/>
      <c r="B62" s="45"/>
      <c r="C62" s="45"/>
      <c r="D62" s="72"/>
      <c r="F62" s="56"/>
      <c r="H62" s="46"/>
    </row>
    <row r="63" spans="1:8" ht="18" x14ac:dyDescent="0.25">
      <c r="A63" s="14" t="s">
        <v>26</v>
      </c>
      <c r="B63" s="45"/>
      <c r="C63" s="45"/>
      <c r="D63" s="80"/>
      <c r="F63" s="56"/>
      <c r="H63" s="46"/>
    </row>
    <row r="64" spans="1:8" ht="18" x14ac:dyDescent="0.25">
      <c r="A64" s="13"/>
      <c r="B64" s="45" t="s">
        <v>5</v>
      </c>
      <c r="C64" s="45"/>
      <c r="D64" s="81">
        <v>18338152</v>
      </c>
      <c r="F64" s="56"/>
      <c r="H64" s="46"/>
    </row>
    <row r="65" spans="1:8" ht="18" x14ac:dyDescent="0.25">
      <c r="A65" s="13"/>
      <c r="B65" s="45" t="s">
        <v>27</v>
      </c>
      <c r="C65" s="45"/>
      <c r="D65" s="82">
        <f>-ROUND(18338152*0.15,0)</f>
        <v>-2750723</v>
      </c>
      <c r="F65" s="56"/>
      <c r="H65" s="46"/>
    </row>
    <row r="66" spans="1:8" ht="18" x14ac:dyDescent="0.25">
      <c r="A66" s="13"/>
      <c r="B66" s="45" t="s">
        <v>63</v>
      </c>
      <c r="C66" s="45"/>
      <c r="D66" s="82">
        <v>500000</v>
      </c>
      <c r="F66" s="56"/>
      <c r="H66" s="46"/>
    </row>
    <row r="67" spans="1:8" ht="18" x14ac:dyDescent="0.25">
      <c r="A67" s="13"/>
      <c r="B67" s="45" t="s">
        <v>64</v>
      </c>
      <c r="C67" s="45"/>
      <c r="D67" s="82">
        <f>-500000</f>
        <v>-500000</v>
      </c>
      <c r="F67" s="56"/>
      <c r="H67" s="46"/>
    </row>
    <row r="68" spans="1:8" ht="18" x14ac:dyDescent="0.25">
      <c r="A68" s="13"/>
      <c r="B68" s="45" t="s">
        <v>8</v>
      </c>
      <c r="C68" s="45"/>
      <c r="D68" s="83">
        <f>SUM(D64:D67)</f>
        <v>15587429</v>
      </c>
      <c r="F68" s="56"/>
      <c r="H68" s="46"/>
    </row>
    <row r="69" spans="1:8" ht="18" x14ac:dyDescent="0.25">
      <c r="A69" s="13"/>
      <c r="B69" s="45"/>
      <c r="C69" s="45"/>
      <c r="D69" s="72"/>
      <c r="F69" s="56"/>
      <c r="H69" s="46"/>
    </row>
    <row r="70" spans="1:8" ht="18" x14ac:dyDescent="0.25">
      <c r="A70" s="14" t="s">
        <v>28</v>
      </c>
      <c r="B70" s="50"/>
      <c r="C70" s="50"/>
      <c r="D70" s="80"/>
      <c r="F70" s="56"/>
      <c r="H70" s="46"/>
    </row>
    <row r="71" spans="1:8" ht="18" x14ac:dyDescent="0.25">
      <c r="A71" s="13"/>
      <c r="B71" s="45" t="s">
        <v>5</v>
      </c>
      <c r="C71" s="45"/>
      <c r="D71" s="67">
        <v>36676304</v>
      </c>
      <c r="F71" s="56"/>
      <c r="H71" s="46"/>
    </row>
    <row r="72" spans="1:8" ht="18" x14ac:dyDescent="0.25">
      <c r="A72" s="13"/>
      <c r="B72" s="45" t="s">
        <v>7</v>
      </c>
      <c r="C72" s="45"/>
      <c r="D72" s="67">
        <v>1275733</v>
      </c>
      <c r="F72" s="56"/>
      <c r="H72" s="46"/>
    </row>
    <row r="73" spans="1:8" ht="18" x14ac:dyDescent="0.25">
      <c r="A73" s="13"/>
      <c r="B73" s="45" t="s">
        <v>8</v>
      </c>
      <c r="C73" s="45"/>
      <c r="D73" s="73">
        <f>SUM(D71:D72)</f>
        <v>37952037</v>
      </c>
      <c r="F73" s="56"/>
      <c r="H73" s="46"/>
    </row>
    <row r="74" spans="1:8" ht="18" x14ac:dyDescent="0.25">
      <c r="A74" s="13"/>
      <c r="B74" s="45"/>
      <c r="C74" s="45"/>
      <c r="D74" s="67"/>
      <c r="F74" s="56"/>
      <c r="H74" s="46"/>
    </row>
    <row r="75" spans="1:8" ht="18" x14ac:dyDescent="0.25">
      <c r="A75" s="14" t="s">
        <v>29</v>
      </c>
      <c r="B75" s="50"/>
      <c r="C75" s="50"/>
      <c r="D75" s="67"/>
      <c r="F75" s="56"/>
      <c r="H75" s="46"/>
    </row>
    <row r="76" spans="1:8" ht="18" x14ac:dyDescent="0.25">
      <c r="A76" s="13"/>
      <c r="B76" s="45" t="s">
        <v>5</v>
      </c>
      <c r="C76" s="45"/>
      <c r="D76" s="71">
        <v>9169076</v>
      </c>
      <c r="F76" s="56"/>
      <c r="H76" s="46"/>
    </row>
    <row r="77" spans="1:8" ht="18.75" x14ac:dyDescent="0.3">
      <c r="A77" s="13"/>
      <c r="B77" s="45" t="s">
        <v>8</v>
      </c>
      <c r="C77" s="17"/>
      <c r="D77" s="68">
        <f>D76</f>
        <v>9169076</v>
      </c>
      <c r="F77" s="56"/>
      <c r="H77" s="46"/>
    </row>
    <row r="78" spans="1:8" ht="18" x14ac:dyDescent="0.25">
      <c r="A78" s="13"/>
      <c r="B78" s="45"/>
      <c r="C78" s="45"/>
      <c r="D78" s="67"/>
      <c r="F78" s="56"/>
      <c r="H78" s="46"/>
    </row>
    <row r="79" spans="1:8" ht="18" x14ac:dyDescent="0.25">
      <c r="A79" s="14" t="s">
        <v>30</v>
      </c>
      <c r="B79" s="50"/>
      <c r="C79" s="50"/>
      <c r="D79" s="67"/>
      <c r="F79" s="56"/>
      <c r="H79" s="46"/>
    </row>
    <row r="80" spans="1:8" ht="18" x14ac:dyDescent="0.25">
      <c r="A80" s="13"/>
      <c r="B80" s="45" t="s">
        <v>5</v>
      </c>
      <c r="C80" s="45"/>
      <c r="D80" s="67">
        <v>27507228</v>
      </c>
      <c r="F80" s="56"/>
      <c r="H80" s="46"/>
    </row>
    <row r="81" spans="1:8" ht="18" x14ac:dyDescent="0.25">
      <c r="A81" s="13"/>
      <c r="B81" s="45" t="s">
        <v>7</v>
      </c>
      <c r="C81" s="45"/>
      <c r="D81" s="71">
        <v>41798</v>
      </c>
      <c r="F81" s="56"/>
      <c r="H81" s="46"/>
    </row>
    <row r="82" spans="1:8" ht="18" x14ac:dyDescent="0.25">
      <c r="A82" s="13"/>
      <c r="B82" s="45" t="s">
        <v>31</v>
      </c>
      <c r="C82" s="45"/>
      <c r="D82" s="67">
        <f>SUM(D80:D81)</f>
        <v>27549026</v>
      </c>
      <c r="F82" s="56"/>
      <c r="H82" s="46"/>
    </row>
    <row r="83" spans="1:8" ht="18" x14ac:dyDescent="0.25">
      <c r="A83" s="15"/>
      <c r="B83" s="16"/>
      <c r="C83" s="16"/>
      <c r="D83" s="75"/>
      <c r="F83" s="56"/>
      <c r="H83" s="46"/>
    </row>
    <row r="84" spans="1:8" ht="18" x14ac:dyDescent="0.25">
      <c r="A84" s="48" t="s">
        <v>57</v>
      </c>
      <c r="B84" s="49"/>
      <c r="C84" s="49"/>
      <c r="D84" s="84"/>
      <c r="F84" s="56"/>
      <c r="H84" s="46"/>
    </row>
    <row r="85" spans="1:8" ht="18" x14ac:dyDescent="0.25">
      <c r="A85" s="15"/>
      <c r="B85" s="16" t="s">
        <v>5</v>
      </c>
      <c r="C85" s="19"/>
      <c r="D85" s="67">
        <v>26462651</v>
      </c>
      <c r="F85" s="46"/>
      <c r="G85" s="46"/>
      <c r="H85" s="46"/>
    </row>
    <row r="86" spans="1:8" ht="18" x14ac:dyDescent="0.25">
      <c r="A86" s="15"/>
      <c r="B86" s="45" t="s">
        <v>55</v>
      </c>
      <c r="C86" s="16"/>
      <c r="D86" s="85">
        <v>3568868</v>
      </c>
      <c r="F86" s="56"/>
      <c r="H86" s="46"/>
    </row>
    <row r="87" spans="1:8" ht="18" x14ac:dyDescent="0.25">
      <c r="A87" s="15"/>
      <c r="B87" s="16" t="s">
        <v>31</v>
      </c>
      <c r="C87" s="16"/>
      <c r="D87" s="77">
        <f>SUM(D85:D86)</f>
        <v>30031519</v>
      </c>
      <c r="F87" s="56"/>
      <c r="H87" s="46"/>
    </row>
    <row r="88" spans="1:8" ht="18" x14ac:dyDescent="0.25">
      <c r="A88" s="15"/>
      <c r="B88" s="16"/>
      <c r="C88" s="16"/>
      <c r="D88" s="77"/>
      <c r="F88" s="56"/>
      <c r="H88" s="46"/>
    </row>
    <row r="89" spans="1:8" ht="18" x14ac:dyDescent="0.25">
      <c r="A89" s="48" t="s">
        <v>58</v>
      </c>
      <c r="B89" s="18"/>
      <c r="C89" s="18"/>
      <c r="D89" s="75"/>
      <c r="F89" s="56"/>
      <c r="H89" s="46"/>
    </row>
    <row r="90" spans="1:8" ht="18" x14ac:dyDescent="0.25">
      <c r="A90" s="48"/>
      <c r="B90" s="45" t="s">
        <v>5</v>
      </c>
      <c r="C90" s="49"/>
      <c r="D90" s="76">
        <f>5237739</f>
        <v>5237739</v>
      </c>
      <c r="F90" s="46"/>
      <c r="G90" s="46"/>
      <c r="H90" s="46"/>
    </row>
    <row r="91" spans="1:8" ht="18" x14ac:dyDescent="0.25">
      <c r="A91" s="15"/>
      <c r="B91" s="45" t="s">
        <v>31</v>
      </c>
      <c r="C91" s="16"/>
      <c r="D91" s="77">
        <f>SUM(D90:D90)</f>
        <v>5237739</v>
      </c>
      <c r="F91" s="56"/>
      <c r="H91" s="46"/>
    </row>
    <row r="92" spans="1:8" ht="18" x14ac:dyDescent="0.25">
      <c r="A92" s="15"/>
      <c r="B92" s="16"/>
      <c r="C92" s="16"/>
      <c r="D92" s="75"/>
      <c r="F92" s="56"/>
      <c r="H92" s="46"/>
    </row>
    <row r="93" spans="1:8" ht="18" x14ac:dyDescent="0.25">
      <c r="A93" s="48" t="s">
        <v>59</v>
      </c>
      <c r="B93" s="18"/>
      <c r="C93" s="18"/>
      <c r="D93" s="75"/>
      <c r="F93" s="56"/>
      <c r="H93" s="46"/>
    </row>
    <row r="94" spans="1:8" ht="18" x14ac:dyDescent="0.25">
      <c r="A94" s="48"/>
      <c r="B94" s="45" t="s">
        <v>5</v>
      </c>
      <c r="C94" s="49"/>
      <c r="D94" s="76">
        <v>6891389</v>
      </c>
      <c r="F94" s="56"/>
      <c r="H94" s="46"/>
    </row>
    <row r="95" spans="1:8" ht="18" x14ac:dyDescent="0.25">
      <c r="A95" s="15"/>
      <c r="B95" s="45" t="s">
        <v>31</v>
      </c>
      <c r="C95" s="16"/>
      <c r="D95" s="77">
        <f>SUM(D94:D94)</f>
        <v>6891389</v>
      </c>
      <c r="F95" s="56"/>
      <c r="H95" s="46"/>
    </row>
    <row r="96" spans="1:8" ht="18" x14ac:dyDescent="0.25">
      <c r="A96" s="15"/>
      <c r="B96" s="16"/>
      <c r="C96" s="16"/>
      <c r="D96" s="75"/>
      <c r="F96" s="56"/>
      <c r="H96" s="46"/>
    </row>
    <row r="97" spans="1:8" ht="18" x14ac:dyDescent="0.25">
      <c r="A97" s="48" t="s">
        <v>32</v>
      </c>
      <c r="B97" s="49"/>
      <c r="C97" s="49"/>
      <c r="D97" s="86"/>
      <c r="F97" s="56"/>
      <c r="H97" s="46"/>
    </row>
    <row r="98" spans="1:8" ht="16.5" customHeight="1" x14ac:dyDescent="0.25">
      <c r="A98" s="15"/>
      <c r="B98" s="16" t="s">
        <v>5</v>
      </c>
      <c r="C98" s="19"/>
      <c r="D98" s="67">
        <f>5513111+6891389</f>
        <v>12404500</v>
      </c>
      <c r="F98" s="46"/>
      <c r="G98" s="46"/>
      <c r="H98" s="57"/>
    </row>
    <row r="99" spans="1:8" ht="18" x14ac:dyDescent="0.25">
      <c r="A99" s="15"/>
      <c r="B99" s="16" t="s">
        <v>33</v>
      </c>
      <c r="C99" s="16"/>
      <c r="D99" s="67">
        <v>-6891389</v>
      </c>
      <c r="F99" s="56"/>
      <c r="H99" s="46"/>
    </row>
    <row r="100" spans="1:8" ht="18" x14ac:dyDescent="0.25">
      <c r="A100" s="15"/>
      <c r="B100" s="45" t="s">
        <v>55</v>
      </c>
      <c r="C100" s="16"/>
      <c r="D100" s="85">
        <v>7500000</v>
      </c>
      <c r="F100" s="58"/>
      <c r="G100" s="59"/>
      <c r="H100" s="46"/>
    </row>
    <row r="101" spans="1:8" ht="18" x14ac:dyDescent="0.25">
      <c r="A101" s="15"/>
      <c r="B101" s="16" t="s">
        <v>31</v>
      </c>
      <c r="C101" s="16"/>
      <c r="D101" s="77">
        <f>SUM(D98:D100)</f>
        <v>13013111</v>
      </c>
      <c r="F101" s="56"/>
      <c r="H101" s="46"/>
    </row>
    <row r="102" spans="1:8" ht="18" x14ac:dyDescent="0.25">
      <c r="A102" s="15"/>
      <c r="B102" s="16"/>
      <c r="C102" s="16"/>
      <c r="D102" s="75"/>
      <c r="F102" s="56"/>
      <c r="H102" s="46"/>
    </row>
    <row r="103" spans="1:8" ht="18" x14ac:dyDescent="0.25">
      <c r="A103" s="14" t="s">
        <v>34</v>
      </c>
      <c r="B103" s="50"/>
      <c r="C103" s="50"/>
      <c r="D103" s="87"/>
      <c r="F103" s="56"/>
      <c r="H103" s="46"/>
    </row>
    <row r="104" spans="1:8" ht="18" x14ac:dyDescent="0.25">
      <c r="A104" s="15"/>
      <c r="B104" s="45" t="s">
        <v>54</v>
      </c>
      <c r="C104" s="16"/>
      <c r="D104" s="67">
        <v>5237739</v>
      </c>
      <c r="F104" s="46"/>
      <c r="G104" s="46"/>
      <c r="H104" s="46"/>
    </row>
    <row r="105" spans="1:8" ht="18" x14ac:dyDescent="0.25">
      <c r="A105" s="15"/>
      <c r="B105" s="45" t="s">
        <v>55</v>
      </c>
      <c r="C105" s="16"/>
      <c r="D105" s="76">
        <v>1500000</v>
      </c>
      <c r="F105" s="56"/>
      <c r="H105" s="46"/>
    </row>
    <row r="106" spans="1:8" ht="18" x14ac:dyDescent="0.25">
      <c r="A106" s="15"/>
      <c r="B106" s="16" t="s">
        <v>31</v>
      </c>
      <c r="C106" s="16"/>
      <c r="D106" s="77">
        <f>SUM(D104:D105)</f>
        <v>6737739</v>
      </c>
      <c r="F106" s="56"/>
      <c r="H106" s="46"/>
    </row>
    <row r="107" spans="1:8" ht="18" x14ac:dyDescent="0.25">
      <c r="A107" s="15"/>
      <c r="B107" s="16"/>
      <c r="C107" s="16"/>
      <c r="D107" s="75"/>
      <c r="F107" s="56"/>
      <c r="H107" s="46"/>
    </row>
    <row r="108" spans="1:8" ht="18" x14ac:dyDescent="0.25">
      <c r="A108" s="48" t="s">
        <v>35</v>
      </c>
      <c r="B108" s="20"/>
      <c r="C108" s="20"/>
      <c r="D108" s="88"/>
      <c r="F108" s="56"/>
      <c r="H108" s="46"/>
    </row>
    <row r="109" spans="1:8" ht="18" x14ac:dyDescent="0.25">
      <c r="A109" s="14"/>
      <c r="B109" s="45" t="s">
        <v>5</v>
      </c>
      <c r="C109" s="21"/>
      <c r="D109" s="67">
        <f>36809345+3344125139+300000000+950000000</f>
        <v>4630934484</v>
      </c>
      <c r="F109" s="56"/>
      <c r="H109" s="46"/>
    </row>
    <row r="110" spans="1:8" ht="18" x14ac:dyDescent="0.25">
      <c r="A110" s="13"/>
      <c r="B110" s="45" t="s">
        <v>20</v>
      </c>
      <c r="C110" s="45"/>
      <c r="D110" s="67">
        <f>-(36809345+18905000)</f>
        <v>-55714345</v>
      </c>
      <c r="F110" s="56"/>
      <c r="H110" s="46"/>
    </row>
    <row r="111" spans="1:8" ht="18" x14ac:dyDescent="0.25">
      <c r="A111" s="13"/>
      <c r="B111" s="45" t="s">
        <v>21</v>
      </c>
      <c r="C111" s="45"/>
      <c r="D111" s="67">
        <f>-95000</f>
        <v>-95000</v>
      </c>
      <c r="F111" s="56"/>
      <c r="H111" s="46"/>
    </row>
    <row r="112" spans="1:8" ht="18" x14ac:dyDescent="0.25">
      <c r="A112" s="13"/>
      <c r="B112" s="45" t="s">
        <v>36</v>
      </c>
      <c r="C112" s="45"/>
      <c r="D112" s="67">
        <v>-300000000</v>
      </c>
      <c r="F112" s="56"/>
      <c r="H112" s="46"/>
    </row>
    <row r="113" spans="1:8" ht="18" x14ac:dyDescent="0.25">
      <c r="A113" s="13"/>
      <c r="B113" s="45" t="s">
        <v>37</v>
      </c>
      <c r="C113" s="45"/>
      <c r="D113" s="67">
        <v>131438</v>
      </c>
      <c r="F113" s="56"/>
      <c r="H113" s="46"/>
    </row>
    <row r="114" spans="1:8" ht="18.75" thickBot="1" x14ac:dyDescent="0.3">
      <c r="A114" s="13"/>
      <c r="B114" s="45" t="s">
        <v>8</v>
      </c>
      <c r="C114" s="45"/>
      <c r="D114" s="89">
        <f>D109+D110+D111+D112+D113</f>
        <v>4275256577</v>
      </c>
      <c r="F114" s="56"/>
      <c r="H114" s="46"/>
    </row>
    <row r="115" spans="1:8" ht="18" x14ac:dyDescent="0.25">
      <c r="A115" s="13"/>
      <c r="B115" s="45" t="s">
        <v>38</v>
      </c>
      <c r="C115" s="45"/>
      <c r="D115" s="67">
        <f>3248817573+904466500+D113</f>
        <v>4153415511</v>
      </c>
      <c r="F115" s="56"/>
      <c r="G115" s="53"/>
      <c r="H115" s="60"/>
    </row>
    <row r="116" spans="1:8" ht="18" x14ac:dyDescent="0.25">
      <c r="A116" s="13"/>
      <c r="B116" s="45" t="s">
        <v>39</v>
      </c>
      <c r="C116" s="45"/>
      <c r="D116" s="67">
        <f>95307566+26533500</f>
        <v>121841066</v>
      </c>
      <c r="F116" s="56"/>
      <c r="H116" s="46"/>
    </row>
    <row r="117" spans="1:8" ht="18" x14ac:dyDescent="0.25">
      <c r="A117" s="13"/>
      <c r="B117" s="45"/>
      <c r="C117" s="45"/>
      <c r="D117" s="67"/>
      <c r="F117" s="56"/>
      <c r="H117" s="46"/>
    </row>
    <row r="118" spans="1:8" ht="18" x14ac:dyDescent="0.25">
      <c r="A118" s="48" t="s">
        <v>40</v>
      </c>
      <c r="B118" s="45"/>
      <c r="C118" s="45"/>
      <c r="D118" s="67"/>
      <c r="F118" s="56"/>
      <c r="H118" s="46"/>
    </row>
    <row r="119" spans="1:8" ht="18" x14ac:dyDescent="0.25">
      <c r="A119" s="13"/>
      <c r="B119" s="16" t="s">
        <v>5</v>
      </c>
      <c r="C119" s="16"/>
      <c r="D119" s="76">
        <v>300000000</v>
      </c>
      <c r="F119" s="56"/>
      <c r="H119" s="46"/>
    </row>
    <row r="120" spans="1:8" ht="18" x14ac:dyDescent="0.25">
      <c r="A120" s="13"/>
      <c r="B120" s="16" t="s">
        <v>31</v>
      </c>
      <c r="C120" s="16"/>
      <c r="D120" s="77">
        <f>SUM(D119:D119)</f>
        <v>300000000</v>
      </c>
      <c r="F120" s="56"/>
      <c r="H120" s="46"/>
    </row>
    <row r="121" spans="1:8" ht="18" x14ac:dyDescent="0.25">
      <c r="A121" s="13"/>
      <c r="B121" s="45"/>
      <c r="C121" s="45"/>
      <c r="D121" s="67"/>
      <c r="F121" s="56"/>
      <c r="H121" s="46"/>
    </row>
    <row r="122" spans="1:8" ht="18" x14ac:dyDescent="0.25">
      <c r="A122" s="14" t="s">
        <v>41</v>
      </c>
      <c r="B122" s="45"/>
      <c r="C122" s="45"/>
      <c r="D122" s="72"/>
      <c r="F122" s="56"/>
      <c r="H122" s="46"/>
    </row>
    <row r="123" spans="1:8" ht="18" x14ac:dyDescent="0.25">
      <c r="A123" s="13"/>
      <c r="B123" s="45" t="s">
        <v>5</v>
      </c>
      <c r="C123" s="45"/>
      <c r="D123" s="67">
        <v>632711140</v>
      </c>
      <c r="F123" s="56"/>
      <c r="H123" s="46"/>
    </row>
    <row r="124" spans="1:8" ht="18" x14ac:dyDescent="0.25">
      <c r="A124" s="13"/>
      <c r="B124" s="103" t="s">
        <v>6</v>
      </c>
      <c r="C124" s="104"/>
      <c r="D124" s="67">
        <v>-4745334</v>
      </c>
      <c r="F124" s="56"/>
      <c r="H124" s="46"/>
    </row>
    <row r="125" spans="1:8" ht="18" x14ac:dyDescent="0.25">
      <c r="A125" s="13"/>
      <c r="B125" s="45" t="s">
        <v>60</v>
      </c>
      <c r="D125" s="67">
        <v>2311034</v>
      </c>
      <c r="F125" s="56"/>
      <c r="H125" s="46"/>
    </row>
    <row r="126" spans="1:8" ht="18" x14ac:dyDescent="0.25">
      <c r="A126" s="13"/>
      <c r="B126" s="105" t="s">
        <v>8</v>
      </c>
      <c r="C126" s="106"/>
      <c r="D126" s="67">
        <f>SUM(D123:D125)</f>
        <v>630276840</v>
      </c>
      <c r="F126" s="56"/>
      <c r="H126" s="46"/>
    </row>
    <row r="127" spans="1:8" ht="18" x14ac:dyDescent="0.25">
      <c r="A127" s="22"/>
      <c r="B127" s="23"/>
      <c r="C127" s="23"/>
      <c r="D127" s="78"/>
      <c r="F127" s="56"/>
      <c r="H127" s="46"/>
    </row>
    <row r="128" spans="1:8" ht="18" x14ac:dyDescent="0.25">
      <c r="A128" s="24" t="s">
        <v>42</v>
      </c>
      <c r="B128" s="25"/>
      <c r="C128" s="25"/>
      <c r="D128" s="84"/>
      <c r="F128" s="56"/>
      <c r="H128" s="46"/>
    </row>
    <row r="129" spans="1:8" ht="18" x14ac:dyDescent="0.25">
      <c r="A129" s="24"/>
      <c r="B129" s="16" t="s">
        <v>5</v>
      </c>
      <c r="C129" s="19"/>
      <c r="D129" s="67">
        <v>468523511</v>
      </c>
      <c r="F129" s="56"/>
      <c r="H129" s="46"/>
    </row>
    <row r="130" spans="1:8" ht="18" x14ac:dyDescent="0.25">
      <c r="A130" s="24"/>
      <c r="B130" s="103" t="s">
        <v>6</v>
      </c>
      <c r="C130" s="104"/>
      <c r="D130" s="67">
        <v>-3513926</v>
      </c>
      <c r="F130" s="56"/>
      <c r="H130" s="46"/>
    </row>
    <row r="131" spans="1:8" ht="18" x14ac:dyDescent="0.25">
      <c r="A131" s="24"/>
      <c r="B131" s="103" t="s">
        <v>43</v>
      </c>
      <c r="C131" s="104"/>
      <c r="D131" s="76">
        <v>-74963762</v>
      </c>
      <c r="F131" s="56"/>
      <c r="H131" s="46"/>
    </row>
    <row r="132" spans="1:8" ht="18" x14ac:dyDescent="0.25">
      <c r="A132" s="15"/>
      <c r="B132" s="16" t="s">
        <v>8</v>
      </c>
      <c r="C132" s="19"/>
      <c r="D132" s="67">
        <f>SUM(D129:D131)</f>
        <v>390045823</v>
      </c>
      <c r="F132" s="56"/>
      <c r="H132" s="46"/>
    </row>
    <row r="133" spans="1:8" ht="18" x14ac:dyDescent="0.25">
      <c r="A133" s="26"/>
      <c r="B133" s="27"/>
      <c r="C133" s="28"/>
      <c r="D133" s="90"/>
      <c r="F133" s="56"/>
      <c r="H133" s="46"/>
    </row>
    <row r="134" spans="1:8" ht="18" x14ac:dyDescent="0.25">
      <c r="A134" s="48" t="s">
        <v>44</v>
      </c>
      <c r="B134" s="29"/>
      <c r="C134" s="29"/>
      <c r="D134" s="90"/>
      <c r="F134" s="56"/>
      <c r="H134" s="46"/>
    </row>
    <row r="135" spans="1:8" ht="18" x14ac:dyDescent="0.25">
      <c r="A135" s="30"/>
      <c r="B135" s="16" t="s">
        <v>5</v>
      </c>
      <c r="C135" s="27"/>
      <c r="D135" s="67">
        <f>1050000000+74963762</f>
        <v>1124963762</v>
      </c>
      <c r="F135" s="56"/>
      <c r="H135" s="46"/>
    </row>
    <row r="136" spans="1:8" ht="18" x14ac:dyDescent="0.25">
      <c r="A136" s="30"/>
      <c r="B136" s="45" t="s">
        <v>45</v>
      </c>
      <c r="C136" s="45"/>
      <c r="D136" s="67">
        <v>-20895000</v>
      </c>
      <c r="F136" s="56"/>
      <c r="H136" s="46"/>
    </row>
    <row r="137" spans="1:8" ht="18" x14ac:dyDescent="0.25">
      <c r="A137" s="30"/>
      <c r="B137" s="45" t="s">
        <v>21</v>
      </c>
      <c r="D137" s="71">
        <v>-105000</v>
      </c>
      <c r="F137" s="56"/>
      <c r="H137" s="46"/>
    </row>
    <row r="138" spans="1:8" ht="18" x14ac:dyDescent="0.25">
      <c r="A138" s="26"/>
      <c r="B138" s="16" t="s">
        <v>31</v>
      </c>
      <c r="C138" s="27"/>
      <c r="D138" s="91">
        <f>SUM(D135:D137)</f>
        <v>1103963762</v>
      </c>
      <c r="F138" s="56"/>
      <c r="H138" s="46"/>
    </row>
    <row r="139" spans="1:8" ht="18" x14ac:dyDescent="0.25">
      <c r="A139" s="26"/>
      <c r="B139" s="27"/>
      <c r="C139" s="27"/>
      <c r="D139" s="68"/>
      <c r="F139" s="56"/>
      <c r="H139" s="46"/>
    </row>
    <row r="140" spans="1:8" ht="18" x14ac:dyDescent="0.25">
      <c r="A140" s="31" t="s">
        <v>46</v>
      </c>
      <c r="B140" s="32"/>
      <c r="C140" s="33"/>
      <c r="D140" s="82"/>
      <c r="F140" s="56"/>
      <c r="H140" s="46"/>
    </row>
    <row r="141" spans="1:8" ht="18" x14ac:dyDescent="0.25">
      <c r="A141" s="34"/>
      <c r="B141" s="35" t="s">
        <v>5</v>
      </c>
      <c r="C141" s="35"/>
      <c r="D141" s="92">
        <v>350000000</v>
      </c>
      <c r="F141" s="56"/>
      <c r="H141" s="46"/>
    </row>
    <row r="142" spans="1:8" ht="18" x14ac:dyDescent="0.25">
      <c r="A142" s="34"/>
      <c r="B142" s="35" t="s">
        <v>10</v>
      </c>
      <c r="C142" s="35"/>
      <c r="D142" s="82">
        <v>-6965000</v>
      </c>
      <c r="F142" s="56"/>
      <c r="H142" s="46"/>
    </row>
    <row r="143" spans="1:8" ht="18" x14ac:dyDescent="0.25">
      <c r="A143" s="34"/>
      <c r="B143" s="35" t="s">
        <v>21</v>
      </c>
      <c r="C143" s="35"/>
      <c r="D143" s="93">
        <v>-35000</v>
      </c>
      <c r="F143" s="56"/>
      <c r="H143" s="46"/>
    </row>
    <row r="144" spans="1:8" ht="18" x14ac:dyDescent="0.25">
      <c r="A144" s="34"/>
      <c r="B144" s="35" t="s">
        <v>8</v>
      </c>
      <c r="C144" s="35"/>
      <c r="D144" s="82">
        <f>SUM(D141:D143)</f>
        <v>343000000</v>
      </c>
      <c r="F144" s="56"/>
      <c r="H144" s="46"/>
    </row>
    <row r="145" spans="1:8" ht="18" x14ac:dyDescent="0.25">
      <c r="A145" s="34"/>
      <c r="B145" s="35"/>
      <c r="C145" s="35"/>
      <c r="D145" s="82"/>
      <c r="F145" s="56"/>
      <c r="H145" s="46"/>
    </row>
    <row r="146" spans="1:8" ht="18" x14ac:dyDescent="0.25">
      <c r="A146" s="31" t="s">
        <v>47</v>
      </c>
      <c r="B146" s="32"/>
      <c r="C146" s="33"/>
      <c r="D146" s="82"/>
      <c r="F146" s="56"/>
      <c r="H146" s="46"/>
    </row>
    <row r="147" spans="1:8" ht="18" x14ac:dyDescent="0.25">
      <c r="A147" s="34"/>
      <c r="B147" s="35" t="s">
        <v>5</v>
      </c>
      <c r="C147" s="35"/>
      <c r="D147" s="92">
        <v>50000000</v>
      </c>
      <c r="F147" s="56"/>
      <c r="H147" s="46"/>
    </row>
    <row r="148" spans="1:8" ht="18" x14ac:dyDescent="0.25">
      <c r="A148" s="34"/>
      <c r="B148" s="35" t="s">
        <v>10</v>
      </c>
      <c r="C148" s="35"/>
      <c r="D148" s="82">
        <v>-995000</v>
      </c>
      <c r="F148" s="56"/>
      <c r="H148" s="46"/>
    </row>
    <row r="149" spans="1:8" ht="18" x14ac:dyDescent="0.25">
      <c r="A149" s="34"/>
      <c r="B149" s="35" t="s">
        <v>21</v>
      </c>
      <c r="C149" s="35"/>
      <c r="D149" s="93">
        <v>-5000</v>
      </c>
      <c r="F149" s="56"/>
      <c r="H149" s="46"/>
    </row>
    <row r="150" spans="1:8" ht="18" x14ac:dyDescent="0.25">
      <c r="A150" s="34"/>
      <c r="B150" s="35" t="s">
        <v>8</v>
      </c>
      <c r="C150" s="35"/>
      <c r="D150" s="82">
        <f>SUM(D147:D149)</f>
        <v>49000000</v>
      </c>
      <c r="F150" s="56"/>
      <c r="H150" s="46"/>
    </row>
    <row r="151" spans="1:8" ht="18" x14ac:dyDescent="0.25">
      <c r="A151" s="34"/>
      <c r="B151" s="35"/>
      <c r="C151" s="35"/>
      <c r="D151" s="82"/>
      <c r="F151" s="56"/>
      <c r="H151" s="46"/>
    </row>
    <row r="152" spans="1:8" ht="18" x14ac:dyDescent="0.25">
      <c r="A152" s="31" t="s">
        <v>48</v>
      </c>
      <c r="B152" s="32"/>
      <c r="C152" s="33"/>
      <c r="D152" s="82"/>
      <c r="F152" s="56"/>
      <c r="H152" s="46"/>
    </row>
    <row r="153" spans="1:8" ht="18" x14ac:dyDescent="0.25">
      <c r="A153" s="34"/>
      <c r="B153" s="35" t="s">
        <v>61</v>
      </c>
      <c r="C153" s="35"/>
      <c r="D153" s="94">
        <v>200000000</v>
      </c>
      <c r="H153" s="46"/>
    </row>
    <row r="154" spans="1:8" ht="18" x14ac:dyDescent="0.25">
      <c r="A154" s="34"/>
      <c r="B154" s="65" t="s">
        <v>55</v>
      </c>
      <c r="C154" s="62"/>
      <c r="D154" s="94">
        <v>20000000</v>
      </c>
      <c r="F154" s="56"/>
      <c r="H154" s="46"/>
    </row>
    <row r="155" spans="1:8" ht="18" x14ac:dyDescent="0.25">
      <c r="A155" s="34"/>
      <c r="B155" s="35" t="s">
        <v>10</v>
      </c>
      <c r="C155" s="35"/>
      <c r="D155" s="82">
        <v>-3980000</v>
      </c>
      <c r="F155" s="56"/>
      <c r="H155" s="46"/>
    </row>
    <row r="156" spans="1:8" ht="18" x14ac:dyDescent="0.25">
      <c r="A156" s="34"/>
      <c r="B156" s="35" t="s">
        <v>21</v>
      </c>
      <c r="C156" s="35"/>
      <c r="D156" s="93">
        <v>-20000</v>
      </c>
      <c r="F156" s="56"/>
      <c r="H156" s="46"/>
    </row>
    <row r="157" spans="1:8" ht="18" x14ac:dyDescent="0.25">
      <c r="A157" s="34"/>
      <c r="B157" s="35" t="s">
        <v>8</v>
      </c>
      <c r="C157" s="35"/>
      <c r="D157" s="82">
        <f>SUM(D153:D156)</f>
        <v>216000000</v>
      </c>
      <c r="F157" s="56"/>
      <c r="H157" s="46"/>
    </row>
    <row r="158" spans="1:8" ht="18.75" thickBot="1" x14ac:dyDescent="0.3">
      <c r="A158" s="36"/>
      <c r="B158" s="37"/>
      <c r="C158" s="37"/>
      <c r="D158" s="95"/>
      <c r="F158" s="56"/>
      <c r="H158" s="46"/>
    </row>
    <row r="159" spans="1:8" ht="18.75" thickBot="1" x14ac:dyDescent="0.3">
      <c r="A159" s="38"/>
      <c r="B159" s="39"/>
      <c r="C159" s="39"/>
      <c r="D159" s="96"/>
      <c r="F159" s="56"/>
      <c r="H159" s="46"/>
    </row>
    <row r="160" spans="1:8" ht="18" x14ac:dyDescent="0.25">
      <c r="A160" s="13"/>
      <c r="B160" s="45"/>
      <c r="C160" s="45"/>
      <c r="D160" s="72"/>
      <c r="F160" s="56"/>
      <c r="H160" s="46"/>
    </row>
    <row r="161" spans="1:9" ht="18" x14ac:dyDescent="0.25">
      <c r="A161" s="14" t="s">
        <v>49</v>
      </c>
      <c r="B161" s="45"/>
      <c r="C161" s="45"/>
      <c r="D161" s="72"/>
      <c r="F161" s="56"/>
      <c r="H161" s="46"/>
    </row>
    <row r="162" spans="1:9" ht="18" x14ac:dyDescent="0.25">
      <c r="A162" s="13"/>
      <c r="B162" s="45" t="s">
        <v>5</v>
      </c>
      <c r="C162" s="45"/>
      <c r="D162" s="97">
        <f>2205000000+1600000000</f>
        <v>3805000000</v>
      </c>
      <c r="F162" s="58"/>
      <c r="G162" s="63"/>
      <c r="H162" s="46"/>
    </row>
    <row r="163" spans="1:9" ht="18" x14ac:dyDescent="0.25">
      <c r="A163" s="13"/>
      <c r="B163" s="45" t="s">
        <v>6</v>
      </c>
      <c r="C163" s="45"/>
      <c r="D163" s="97">
        <f>-22050000-16000000</f>
        <v>-38050000</v>
      </c>
      <c r="F163" s="58"/>
      <c r="G163" s="63"/>
      <c r="I163" s="60"/>
    </row>
    <row r="164" spans="1:9" ht="18" x14ac:dyDescent="0.25">
      <c r="A164" s="13"/>
      <c r="B164" s="45" t="s">
        <v>8</v>
      </c>
      <c r="C164" s="45"/>
      <c r="D164" s="98">
        <f>D162+D163</f>
        <v>3766950000</v>
      </c>
      <c r="F164" s="56"/>
      <c r="H164" s="46"/>
      <c r="I164" s="60"/>
    </row>
    <row r="165" spans="1:9" ht="18.75" thickBot="1" x14ac:dyDescent="0.3">
      <c r="A165" s="13"/>
      <c r="B165" s="45"/>
      <c r="C165" s="45"/>
      <c r="D165" s="81"/>
      <c r="F165" s="56"/>
      <c r="H165" s="60"/>
    </row>
    <row r="166" spans="1:9" ht="18.75" thickBot="1" x14ac:dyDescent="0.3">
      <c r="A166" s="38"/>
      <c r="B166" s="39"/>
      <c r="C166" s="39"/>
      <c r="D166" s="96"/>
      <c r="F166" s="56"/>
      <c r="H166" s="46"/>
    </row>
    <row r="167" spans="1:9" ht="18" x14ac:dyDescent="0.25">
      <c r="A167" s="13"/>
      <c r="B167" s="45"/>
      <c r="C167" s="45"/>
      <c r="D167" s="72"/>
      <c r="F167" s="56"/>
      <c r="H167" s="46"/>
    </row>
    <row r="168" spans="1:9" ht="18" x14ac:dyDescent="0.25">
      <c r="A168" s="11" t="s">
        <v>50</v>
      </c>
      <c r="B168" s="45"/>
      <c r="C168" s="45"/>
      <c r="D168" s="72"/>
      <c r="F168" s="64"/>
      <c r="H168" s="46"/>
    </row>
    <row r="169" spans="1:9" ht="18" x14ac:dyDescent="0.25">
      <c r="A169" s="12"/>
      <c r="B169" s="45" t="s">
        <v>5</v>
      </c>
      <c r="C169" s="45"/>
      <c r="D169" s="81">
        <v>150000000</v>
      </c>
      <c r="F169" s="46"/>
      <c r="G169" s="57"/>
      <c r="H169" s="46"/>
    </row>
    <row r="170" spans="1:9" ht="18" x14ac:dyDescent="0.25">
      <c r="A170" s="12"/>
      <c r="B170" s="45" t="s">
        <v>10</v>
      </c>
      <c r="C170" s="45"/>
      <c r="D170" s="99">
        <f>-1500000</f>
        <v>-1500000</v>
      </c>
      <c r="F170" s="56"/>
      <c r="H170" s="46"/>
    </row>
    <row r="171" spans="1:9" ht="18" x14ac:dyDescent="0.25">
      <c r="A171" s="12"/>
      <c r="B171" s="45" t="s">
        <v>8</v>
      </c>
      <c r="C171" s="45"/>
      <c r="D171" s="81">
        <f>SUM(D169:D170)</f>
        <v>148500000</v>
      </c>
      <c r="F171" s="56"/>
      <c r="H171" s="46"/>
    </row>
    <row r="172" spans="1:9" ht="18" x14ac:dyDescent="0.25">
      <c r="A172" s="12"/>
      <c r="B172" s="45"/>
      <c r="C172" s="45"/>
      <c r="D172" s="72"/>
      <c r="F172" s="56"/>
      <c r="H172" s="46"/>
    </row>
    <row r="173" spans="1:9" ht="18" x14ac:dyDescent="0.25">
      <c r="A173" s="13"/>
      <c r="B173" s="45"/>
      <c r="C173" s="45"/>
      <c r="D173" s="72"/>
      <c r="F173" s="56"/>
      <c r="H173" s="46"/>
    </row>
    <row r="174" spans="1:9" ht="18" x14ac:dyDescent="0.25">
      <c r="A174" s="11" t="s">
        <v>62</v>
      </c>
      <c r="B174" s="45"/>
      <c r="C174" s="45"/>
      <c r="D174" s="72"/>
      <c r="F174" s="56"/>
      <c r="H174" s="46"/>
    </row>
    <row r="175" spans="1:9" ht="18" x14ac:dyDescent="0.25">
      <c r="A175" s="12"/>
      <c r="B175" s="45" t="s">
        <v>5</v>
      </c>
      <c r="C175" s="45"/>
      <c r="D175" s="99">
        <v>206817976</v>
      </c>
      <c r="F175" s="56"/>
      <c r="H175" s="46"/>
    </row>
    <row r="176" spans="1:9" ht="18" x14ac:dyDescent="0.25">
      <c r="A176" s="12"/>
      <c r="B176" s="45" t="s">
        <v>8</v>
      </c>
      <c r="C176" s="45"/>
      <c r="D176" s="81">
        <f>SUM(D175)</f>
        <v>206817976</v>
      </c>
      <c r="F176" s="56"/>
      <c r="H176" s="46"/>
    </row>
    <row r="177" spans="1:8" ht="18.75" thickBot="1" x14ac:dyDescent="0.3">
      <c r="A177" s="12"/>
      <c r="B177" s="45"/>
      <c r="C177" s="45"/>
      <c r="D177" s="72"/>
      <c r="F177" s="56"/>
      <c r="H177" s="46"/>
    </row>
    <row r="178" spans="1:8" ht="18" x14ac:dyDescent="0.25">
      <c r="A178" s="40" t="s">
        <v>51</v>
      </c>
      <c r="B178" s="41"/>
      <c r="C178" s="41"/>
      <c r="D178" s="100">
        <f>D9+D15+D20+D24+D28+D29+D35+D44+D53+D57+D59+D64+D66+D71+D76+D80+D85+D86+D90+D94+D98+D100+D104+D105+D109+D123+D129+D131+D135+D141+D147+D153+D154+D162+D169+D175</f>
        <v>20711395833</v>
      </c>
      <c r="F178" s="56"/>
      <c r="H178" s="46"/>
    </row>
    <row r="179" spans="1:8" ht="18.75" thickBot="1" x14ac:dyDescent="0.3">
      <c r="A179" s="42" t="s">
        <v>52</v>
      </c>
      <c r="B179" s="43"/>
      <c r="C179" s="43"/>
      <c r="D179" s="101">
        <f>D12+D17+D21+D31+D36+D41+D50+D54+D61+D68+D73+D77+D82+D87+D91+D95+D101+D106+D114+D120+D126+D132+D138+D144+D150+D157+D164+D171+D176</f>
        <v>20517037721</v>
      </c>
      <c r="E179" s="44"/>
      <c r="F179" s="56"/>
      <c r="H179" s="46"/>
    </row>
    <row r="180" spans="1:8" x14ac:dyDescent="0.25">
      <c r="F180" s="52"/>
      <c r="H180" s="46"/>
    </row>
  </sheetData>
  <mergeCells count="16">
    <mergeCell ref="A6:D6"/>
    <mergeCell ref="A1:D1"/>
    <mergeCell ref="A2:D2"/>
    <mergeCell ref="A3:D3"/>
    <mergeCell ref="A4:D4"/>
    <mergeCell ref="A5:D5"/>
    <mergeCell ref="B124:C124"/>
    <mergeCell ref="B126:C126"/>
    <mergeCell ref="B130:C130"/>
    <mergeCell ref="B131:C131"/>
    <mergeCell ref="A8:D8"/>
    <mergeCell ref="A14:D14"/>
    <mergeCell ref="B25:C25"/>
    <mergeCell ref="B26:C26"/>
    <mergeCell ref="A43:C43"/>
    <mergeCell ref="A52:C52"/>
  </mergeCells>
  <printOptions horizontalCentered="1" verticalCentered="1"/>
  <pageMargins left="0.45" right="0.45" top="0.5" bottom="0.5" header="0.3" footer="0.3"/>
  <pageSetup scale="61" fitToHeight="3" orientation="portrait" horizontalDpi="1200" verticalDpi="1200" r:id="rId1"/>
  <headerFooter>
    <oddFooter>&amp;R&amp;P</oddFooter>
  </headerFooter>
  <rowBreaks count="1" manualBreakCount="1">
    <brk id="16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Full Year Table 1</vt:lpstr>
      <vt:lpstr>'FY 2024 Full Year Table 1'!Print_Area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1: FY 2024 FULL YEAR APPROPRIATIONS AND APPORTIONMENTS FOR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keywords/>
  <dc:description/>
  <cp:lastModifiedBy>Djoumanov, Aziza (FTA)</cp:lastModifiedBy>
  <cp:revision/>
  <dcterms:created xsi:type="dcterms:W3CDTF">2024-02-12T20:11:53Z</dcterms:created>
  <dcterms:modified xsi:type="dcterms:W3CDTF">2024-04-01T16:50:48Z</dcterms:modified>
  <cp:category/>
  <cp:contentStatus/>
</cp:coreProperties>
</file>