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codeName="{22E68647-3C60-695B-3CA0-4895CD717B8A}"/>
  <workbookPr date1904="1" codeName="ThisWorkbook"/>
  <mc:AlternateContent xmlns:mc="http://schemas.openxmlformats.org/markup-compatibility/2006">
    <mc:Choice Requires="x15">
      <x15ac:absPath xmlns:x15ac="http://schemas.microsoft.com/office/spreadsheetml/2010/11/ac" url="J:\Projects\J2017-1240 NTI Course\course update\"/>
    </mc:Choice>
  </mc:AlternateContent>
  <xr:revisionPtr revIDLastSave="0" documentId="13_ncr:1_{B7C7C809-49DA-4124-BD8D-48FFC7C836EB}" xr6:coauthVersionLast="40" xr6:coauthVersionMax="40" xr10:uidLastSave="{00000000-0000-0000-0000-000000000000}"/>
  <workbookProtection workbookAlgorithmName="SHA-512" workbookHashValue="8/wGws0C6tb4slTSSspozPxSz07Kx1k986i/+d2DFCLVwqIZZ2J10bvZegZCPnbLEJIGBiDOB75EitZmmURr8A==" workbookSaltValue="RKRAO+jNCPrqxRbgikXYtA==" workbookSpinCount="100000" lockStructure="1"/>
  <bookViews>
    <workbookView xWindow="16800" yWindow="1725" windowWidth="15495" windowHeight="11685" tabRatio="500" activeTab="1" xr2:uid="{00000000-000D-0000-FFFF-FFFF00000000}"/>
  </bookViews>
  <sheets>
    <sheet name="Instructions" sheetId="9" r:id="rId1"/>
    <sheet name="Calculations" sheetId="1" r:id="rId2"/>
    <sheet name="Report" sheetId="8" r:id="rId3"/>
    <sheet name="Impact Plots" sheetId="7" r:id="rId4"/>
  </sheets>
  <definedNames>
    <definedName name="LeqDay">Calculations!$AK$33:$BA$59</definedName>
    <definedName name="LeqNight">Calculations!$AK$62:$BA$88</definedName>
    <definedName name="Parameters">Calculations!$AC$19:$AI$53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4" i="1" l="1"/>
  <c r="C96" i="1"/>
  <c r="C78" i="1"/>
  <c r="C60" i="1"/>
  <c r="C42" i="1"/>
  <c r="C24" i="1"/>
  <c r="C118" i="1" l="1"/>
  <c r="C100" i="1"/>
  <c r="C82" i="1"/>
  <c r="C64" i="1"/>
  <c r="C46" i="1"/>
  <c r="C28" i="1"/>
  <c r="AF51" i="1"/>
  <c r="AE50" i="1"/>
  <c r="AA43" i="1"/>
  <c r="AA42" i="1"/>
  <c r="D61" i="1"/>
  <c r="AA95" i="1"/>
  <c r="AA82" i="1"/>
  <c r="AA69" i="1"/>
  <c r="AA56" i="1"/>
  <c r="AA50" i="1"/>
  <c r="AA36" i="1"/>
  <c r="AA23" i="1"/>
  <c r="AA94" i="1"/>
  <c r="AA93" i="1"/>
  <c r="AA92" i="1"/>
  <c r="AA91" i="1"/>
  <c r="AA90" i="1"/>
  <c r="AA89" i="1"/>
  <c r="AA88" i="1"/>
  <c r="AA81" i="1"/>
  <c r="AA80" i="1"/>
  <c r="AA79" i="1"/>
  <c r="AA78" i="1"/>
  <c r="AA77" i="1"/>
  <c r="AA76" i="1"/>
  <c r="AA75" i="1"/>
  <c r="AA68" i="1"/>
  <c r="AA67" i="1"/>
  <c r="AA66" i="1"/>
  <c r="AA65" i="1"/>
  <c r="AA64" i="1"/>
  <c r="AA63" i="1"/>
  <c r="AA62" i="1"/>
  <c r="AA55" i="1"/>
  <c r="AA54" i="1"/>
  <c r="AA53" i="1"/>
  <c r="AA52" i="1"/>
  <c r="AA51" i="1"/>
  <c r="AA49" i="1"/>
  <c r="AA29" i="1"/>
  <c r="AA28" i="1"/>
  <c r="AA27" i="1"/>
  <c r="AA26" i="1"/>
  <c r="AA25" i="1"/>
  <c r="AA24" i="1"/>
  <c r="AA32" i="1"/>
  <c r="AA33" i="1"/>
  <c r="AA34" i="1"/>
  <c r="AA35" i="1"/>
  <c r="AA37" i="1"/>
  <c r="AA38" i="1"/>
  <c r="AA39" i="1"/>
  <c r="AA40" i="1"/>
  <c r="AA41" i="1"/>
  <c r="AA30" i="1"/>
  <c r="AA22" i="1"/>
  <c r="AA21" i="1"/>
  <c r="AA20" i="1"/>
  <c r="AA19" i="1"/>
  <c r="BA88" i="1"/>
  <c r="AX88" i="1"/>
  <c r="AU88" i="1"/>
  <c r="AR88" i="1"/>
  <c r="AO88" i="1"/>
  <c r="AL88" i="1"/>
  <c r="BA59" i="1"/>
  <c r="AX59" i="1"/>
  <c r="AU59" i="1"/>
  <c r="AR59" i="1"/>
  <c r="AO59" i="1"/>
  <c r="AL59" i="1"/>
  <c r="C124" i="1"/>
  <c r="C106" i="1"/>
  <c r="C88" i="1"/>
  <c r="C70" i="1"/>
  <c r="C52" i="1"/>
  <c r="C34" i="1"/>
  <c r="H95" i="1"/>
  <c r="C95" i="1"/>
  <c r="C61" i="1"/>
  <c r="C54" i="1"/>
  <c r="C53" i="1"/>
  <c r="C51" i="1"/>
  <c r="C47" i="1"/>
  <c r="C43" i="1"/>
  <c r="C123" i="1"/>
  <c r="C105" i="1"/>
  <c r="C87" i="1"/>
  <c r="C69" i="1"/>
  <c r="C33" i="1"/>
  <c r="AA85" i="1"/>
  <c r="AA86" i="1"/>
  <c r="AA87" i="1"/>
  <c r="AA84" i="1"/>
  <c r="AA72" i="1"/>
  <c r="AA73" i="1"/>
  <c r="AA74" i="1"/>
  <c r="AA71" i="1"/>
  <c r="AA59" i="1"/>
  <c r="AA60" i="1"/>
  <c r="AA61" i="1"/>
  <c r="AA58" i="1"/>
  <c r="AA46" i="1"/>
  <c r="AA47" i="1"/>
  <c r="AA48" i="1"/>
  <c r="AA45" i="1"/>
  <c r="C126" i="1"/>
  <c r="C125" i="1"/>
  <c r="C108" i="1"/>
  <c r="C107" i="1"/>
  <c r="C90" i="1"/>
  <c r="C89" i="1"/>
  <c r="C72" i="1"/>
  <c r="C71" i="1"/>
  <c r="C36" i="1"/>
  <c r="C35" i="1"/>
  <c r="BA87" i="1"/>
  <c r="BA85" i="1"/>
  <c r="AX87" i="1"/>
  <c r="AX85" i="1"/>
  <c r="AU87" i="1"/>
  <c r="AU85" i="1"/>
  <c r="AR87" i="1"/>
  <c r="AR85" i="1"/>
  <c r="AO85" i="1"/>
  <c r="AO87" i="1"/>
  <c r="AL87" i="1"/>
  <c r="AL85" i="1"/>
  <c r="BA56" i="1"/>
  <c r="BA58" i="1"/>
  <c r="AX56" i="1"/>
  <c r="AX58" i="1"/>
  <c r="AU58" i="1"/>
  <c r="AU56" i="1"/>
  <c r="AR56" i="1"/>
  <c r="AR58" i="1"/>
  <c r="AO58" i="1"/>
  <c r="AO56" i="1"/>
  <c r="AL56" i="1"/>
  <c r="AL58" i="1"/>
  <c r="AL62" i="1"/>
  <c r="AL63" i="1"/>
  <c r="C122" i="1"/>
  <c r="C121" i="1"/>
  <c r="C119" i="1"/>
  <c r="C115" i="1"/>
  <c r="C104" i="1"/>
  <c r="C103" i="1"/>
  <c r="C101" i="1"/>
  <c r="C97" i="1"/>
  <c r="C86" i="1"/>
  <c r="C85" i="1"/>
  <c r="C83" i="1"/>
  <c r="C81" i="1"/>
  <c r="C79" i="1"/>
  <c r="C68" i="1"/>
  <c r="C67" i="1"/>
  <c r="C65" i="1"/>
  <c r="C50" i="1"/>
  <c r="C49" i="1"/>
  <c r="C29" i="1"/>
  <c r="C25"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2" i="1"/>
  <c r="AF53" i="1"/>
  <c r="AF19" i="1"/>
  <c r="AE20" i="1"/>
  <c r="AE21" i="1"/>
  <c r="C23" i="1" s="1"/>
  <c r="C77" i="1"/>
  <c r="AE22" i="1"/>
  <c r="AE23" i="1"/>
  <c r="AE24" i="1"/>
  <c r="C59" i="1"/>
  <c r="AE25" i="1"/>
  <c r="AE26" i="1"/>
  <c r="AE27" i="1"/>
  <c r="C41" i="1" s="1"/>
  <c r="AE28" i="1"/>
  <c r="AE29" i="1"/>
  <c r="AE30" i="1"/>
  <c r="AE31" i="1"/>
  <c r="AE32" i="1"/>
  <c r="AE33" i="1"/>
  <c r="AE34" i="1"/>
  <c r="AE35" i="1"/>
  <c r="AE36" i="1"/>
  <c r="AE37" i="1"/>
  <c r="AE38" i="1"/>
  <c r="AE39" i="1"/>
  <c r="AE40" i="1"/>
  <c r="AE41" i="1"/>
  <c r="AE42" i="1"/>
  <c r="AE19" i="1"/>
  <c r="AA6" i="1"/>
  <c r="G8" i="1"/>
  <c r="H8" i="1"/>
  <c r="F15" i="8"/>
  <c r="G9" i="1"/>
  <c r="G15" i="1"/>
  <c r="G16" i="1"/>
  <c r="B23" i="1"/>
  <c r="G23" i="1"/>
  <c r="B24" i="1"/>
  <c r="G24" i="1"/>
  <c r="B25" i="1"/>
  <c r="G25" i="1"/>
  <c r="B27" i="1"/>
  <c r="AL33" i="1"/>
  <c r="AO33" i="1"/>
  <c r="AR33" i="1"/>
  <c r="AU33" i="1"/>
  <c r="AX33" i="1"/>
  <c r="BA33" i="1"/>
  <c r="AL34" i="1"/>
  <c r="AO34" i="1"/>
  <c r="AR34" i="1"/>
  <c r="AU34" i="1"/>
  <c r="AX34" i="1"/>
  <c r="BA34" i="1"/>
  <c r="AL35" i="1"/>
  <c r="AO35" i="1"/>
  <c r="AR35" i="1"/>
  <c r="AU35" i="1"/>
  <c r="AX35" i="1"/>
  <c r="BA35" i="1"/>
  <c r="AL36" i="1"/>
  <c r="AO36" i="1"/>
  <c r="AR36" i="1"/>
  <c r="AU36" i="1"/>
  <c r="AX36" i="1"/>
  <c r="BA36" i="1"/>
  <c r="AL37" i="1"/>
  <c r="AO37" i="1"/>
  <c r="AR37" i="1"/>
  <c r="AU37" i="1"/>
  <c r="AX37" i="1"/>
  <c r="BA37" i="1"/>
  <c r="B38" i="1"/>
  <c r="D38" i="1"/>
  <c r="AL38" i="1"/>
  <c r="AO38" i="1"/>
  <c r="AR38" i="1"/>
  <c r="AU38" i="1"/>
  <c r="AX38" i="1"/>
  <c r="BA38" i="1"/>
  <c r="C39" i="1"/>
  <c r="AL39" i="1"/>
  <c r="AO39" i="1"/>
  <c r="AR39" i="1"/>
  <c r="AU39" i="1"/>
  <c r="AX39" i="1"/>
  <c r="BA39" i="1"/>
  <c r="C40" i="1"/>
  <c r="G40" i="1"/>
  <c r="AL40" i="1"/>
  <c r="AO40" i="1"/>
  <c r="AR40" i="1"/>
  <c r="AU40" i="1"/>
  <c r="AX40" i="1"/>
  <c r="BA40" i="1"/>
  <c r="B41" i="1"/>
  <c r="G41" i="1"/>
  <c r="AL41" i="1"/>
  <c r="AO41" i="1"/>
  <c r="AR41" i="1"/>
  <c r="AU41" i="1"/>
  <c r="AX41" i="1"/>
  <c r="BA41" i="1"/>
  <c r="B42" i="1"/>
  <c r="G42" i="1"/>
  <c r="B43" i="1"/>
  <c r="G43" i="1"/>
  <c r="AE43" i="1"/>
  <c r="AL43" i="1"/>
  <c r="AO43" i="1"/>
  <c r="AR43" i="1"/>
  <c r="AU43" i="1"/>
  <c r="AX43" i="1"/>
  <c r="BA43" i="1"/>
  <c r="G44" i="1"/>
  <c r="AE44" i="1"/>
  <c r="AL44" i="1"/>
  <c r="AU2" i="1" s="1"/>
  <c r="AO44" i="1"/>
  <c r="AR44" i="1"/>
  <c r="AU44" i="1"/>
  <c r="AX44" i="1"/>
  <c r="BA44" i="1"/>
  <c r="H113" i="1"/>
  <c r="B45" i="1"/>
  <c r="AE45" i="1"/>
  <c r="AL45" i="1"/>
  <c r="AO45" i="1"/>
  <c r="AR45" i="1"/>
  <c r="AU45" i="1"/>
  <c r="AX45" i="1"/>
  <c r="BA45" i="1"/>
  <c r="AE46" i="1"/>
  <c r="AL46" i="1"/>
  <c r="AO46" i="1"/>
  <c r="AR46" i="1"/>
  <c r="AU46" i="1"/>
  <c r="AX46" i="1"/>
  <c r="BA46" i="1"/>
  <c r="AE47" i="1"/>
  <c r="AL47" i="1"/>
  <c r="AO47" i="1"/>
  <c r="AR47" i="1"/>
  <c r="AU47" i="1"/>
  <c r="AX47" i="1"/>
  <c r="BA47" i="1"/>
  <c r="AE48" i="1"/>
  <c r="AL48" i="1"/>
  <c r="AO48" i="1"/>
  <c r="AR48" i="1"/>
  <c r="AU48" i="1"/>
  <c r="AX48" i="1"/>
  <c r="BA48" i="1"/>
  <c r="AE49" i="1"/>
  <c r="AL49" i="1"/>
  <c r="AO49" i="1"/>
  <c r="AR49" i="1"/>
  <c r="AU49" i="1"/>
  <c r="AX49" i="1"/>
  <c r="BA49" i="1"/>
  <c r="AL50" i="1"/>
  <c r="AO50" i="1"/>
  <c r="AR50" i="1"/>
  <c r="AU50" i="1"/>
  <c r="AX50" i="1"/>
  <c r="BA50" i="1"/>
  <c r="AE51" i="1"/>
  <c r="AL51" i="1"/>
  <c r="AO51" i="1"/>
  <c r="AR51" i="1"/>
  <c r="AU51" i="1"/>
  <c r="AX51" i="1"/>
  <c r="BA51" i="1"/>
  <c r="AE52" i="1"/>
  <c r="AL52" i="1"/>
  <c r="AO52" i="1"/>
  <c r="AR52" i="1"/>
  <c r="AU52" i="1"/>
  <c r="AX52" i="1"/>
  <c r="BA52" i="1"/>
  <c r="AL53" i="1"/>
  <c r="AO53" i="1"/>
  <c r="AR53" i="1"/>
  <c r="AU53" i="1"/>
  <c r="AX53" i="1"/>
  <c r="BA53" i="1"/>
  <c r="AL54" i="1"/>
  <c r="AO54" i="1"/>
  <c r="AR54" i="1"/>
  <c r="AU54" i="1"/>
  <c r="AX54" i="1"/>
  <c r="BA54" i="1"/>
  <c r="AL55" i="1"/>
  <c r="AO55" i="1"/>
  <c r="H41" i="1" s="1"/>
  <c r="AR55" i="1"/>
  <c r="AU55" i="1"/>
  <c r="AX55" i="1"/>
  <c r="BA55" i="1"/>
  <c r="B56" i="1"/>
  <c r="D56" i="1"/>
  <c r="C57" i="1"/>
  <c r="AL57" i="1"/>
  <c r="AO57" i="1"/>
  <c r="AR57" i="1"/>
  <c r="AU57" i="1"/>
  <c r="AX57" i="1"/>
  <c r="BA57" i="1"/>
  <c r="C58" i="1"/>
  <c r="G58" i="1"/>
  <c r="B59" i="1"/>
  <c r="G59" i="1"/>
  <c r="B60" i="1"/>
  <c r="G60" i="1"/>
  <c r="B61" i="1"/>
  <c r="G61" i="1"/>
  <c r="G62" i="1"/>
  <c r="AO62" i="1"/>
  <c r="AR62" i="1"/>
  <c r="AU62" i="1"/>
  <c r="AX62" i="1"/>
  <c r="BA62" i="1"/>
  <c r="B63" i="1"/>
  <c r="AO63" i="1"/>
  <c r="AR63" i="1"/>
  <c r="AU63" i="1"/>
  <c r="AX63" i="1"/>
  <c r="BA63" i="1"/>
  <c r="AL64" i="1"/>
  <c r="AO64" i="1"/>
  <c r="AR64" i="1"/>
  <c r="AU64" i="1"/>
  <c r="AX64" i="1"/>
  <c r="BA64" i="1"/>
  <c r="AL65" i="1"/>
  <c r="AO65" i="1"/>
  <c r="AR65" i="1"/>
  <c r="AU65" i="1"/>
  <c r="AX65" i="1"/>
  <c r="BA65" i="1"/>
  <c r="AL66" i="1"/>
  <c r="AO66" i="1"/>
  <c r="AR66" i="1"/>
  <c r="AU66" i="1"/>
  <c r="AX66" i="1"/>
  <c r="BA66" i="1"/>
  <c r="AL67" i="1"/>
  <c r="AO67" i="1"/>
  <c r="AR67" i="1"/>
  <c r="AU67" i="1"/>
  <c r="AX67" i="1"/>
  <c r="BA67" i="1"/>
  <c r="AL68" i="1"/>
  <c r="AO68" i="1"/>
  <c r="AR68" i="1"/>
  <c r="AU68" i="1"/>
  <c r="AX68" i="1"/>
  <c r="BA68" i="1"/>
  <c r="AL69" i="1"/>
  <c r="AO69" i="1"/>
  <c r="AR69" i="1"/>
  <c r="AU69" i="1"/>
  <c r="AX69" i="1"/>
  <c r="BA69" i="1"/>
  <c r="AL70" i="1"/>
  <c r="AO70" i="1"/>
  <c r="AR70" i="1"/>
  <c r="AU70" i="1"/>
  <c r="AX70" i="1"/>
  <c r="BA70" i="1"/>
  <c r="AL72" i="1"/>
  <c r="AO72" i="1"/>
  <c r="AR72" i="1"/>
  <c r="AU72" i="1"/>
  <c r="AX72" i="1"/>
  <c r="BA72" i="1"/>
  <c r="AL73" i="1"/>
  <c r="AO73" i="1"/>
  <c r="AR73" i="1"/>
  <c r="AU73" i="1"/>
  <c r="AX73" i="1"/>
  <c r="BA73" i="1"/>
  <c r="H114" i="1"/>
  <c r="B74" i="1"/>
  <c r="D74" i="1"/>
  <c r="AL74" i="1"/>
  <c r="AO74" i="1"/>
  <c r="AR74" i="1"/>
  <c r="AU74" i="1"/>
  <c r="AX74" i="1"/>
  <c r="BA74" i="1"/>
  <c r="C75" i="1"/>
  <c r="AL75" i="1"/>
  <c r="AO75" i="1"/>
  <c r="AR75" i="1"/>
  <c r="AU75" i="1"/>
  <c r="AX75" i="1"/>
  <c r="BA75" i="1"/>
  <c r="C76" i="1"/>
  <c r="G76" i="1"/>
  <c r="AL76" i="1"/>
  <c r="AO76" i="1"/>
  <c r="AR76" i="1"/>
  <c r="AU76" i="1"/>
  <c r="AX76" i="1"/>
  <c r="BA76" i="1"/>
  <c r="B77" i="1"/>
  <c r="G77" i="1"/>
  <c r="AL77" i="1"/>
  <c r="AO77" i="1"/>
  <c r="AG139" i="1"/>
  <c r="AR77" i="1"/>
  <c r="AU77" i="1"/>
  <c r="AX77" i="1"/>
  <c r="BA77" i="1"/>
  <c r="B78" i="1"/>
  <c r="G78" i="1"/>
  <c r="AL78" i="1"/>
  <c r="AO78" i="1"/>
  <c r="AR78" i="1"/>
  <c r="AU78" i="1"/>
  <c r="AX78" i="1"/>
  <c r="BA78" i="1"/>
  <c r="B79" i="1"/>
  <c r="G79" i="1"/>
  <c r="AL79" i="1"/>
  <c r="AO79" i="1"/>
  <c r="AR79" i="1"/>
  <c r="H60" i="1"/>
  <c r="AU79" i="1"/>
  <c r="AX79" i="1"/>
  <c r="BA79" i="1"/>
  <c r="G80" i="1"/>
  <c r="AL80" i="1"/>
  <c r="AO80" i="1"/>
  <c r="AR80" i="1"/>
  <c r="AU80" i="1"/>
  <c r="AX80" i="1"/>
  <c r="BA80" i="1"/>
  <c r="B81" i="1"/>
  <c r="AL81" i="1"/>
  <c r="AO81" i="1"/>
  <c r="AR81" i="1"/>
  <c r="AU81" i="1"/>
  <c r="AX81" i="1"/>
  <c r="BA81" i="1"/>
  <c r="AL82" i="1"/>
  <c r="AO82" i="1"/>
  <c r="AR82" i="1"/>
  <c r="AU82" i="1"/>
  <c r="AX82" i="1"/>
  <c r="H96" i="1"/>
  <c r="BA82" i="1"/>
  <c r="AL83" i="1"/>
  <c r="AO83" i="1"/>
  <c r="AR83" i="1"/>
  <c r="AU83" i="1"/>
  <c r="AX83" i="1"/>
  <c r="BA83" i="1"/>
  <c r="AL84" i="1"/>
  <c r="AO84" i="1"/>
  <c r="AV3" i="1" s="1"/>
  <c r="AR84" i="1"/>
  <c r="AU84" i="1"/>
  <c r="AX84" i="1"/>
  <c r="BA84" i="1"/>
  <c r="AL86" i="1"/>
  <c r="AO86" i="1"/>
  <c r="AR86" i="1"/>
  <c r="AU86" i="1"/>
  <c r="AX86" i="1"/>
  <c r="BA86" i="1"/>
  <c r="B92" i="1"/>
  <c r="D92" i="1"/>
  <c r="AC92" i="1"/>
  <c r="AJ92" i="1"/>
  <c r="AD92" i="1"/>
  <c r="AH92" i="1" s="1"/>
  <c r="AF92" i="1" s="1"/>
  <c r="C93" i="1"/>
  <c r="AJ93" i="1"/>
  <c r="AD93" i="1"/>
  <c r="AH93" i="1" s="1"/>
  <c r="AF93" i="1" s="1"/>
  <c r="AK93" i="1"/>
  <c r="AE93" i="1"/>
  <c r="AI93" i="1" s="1"/>
  <c r="AG93" i="1" s="1"/>
  <c r="AL93" i="1"/>
  <c r="AM93" i="1"/>
  <c r="C94" i="1"/>
  <c r="G94" i="1"/>
  <c r="AJ94" i="1"/>
  <c r="AD94" i="1"/>
  <c r="AH94" i="1" s="1"/>
  <c r="AF94" i="1" s="1"/>
  <c r="AK94" i="1"/>
  <c r="AE94" i="1"/>
  <c r="AI94" i="1" s="1"/>
  <c r="AG94" i="1" s="1"/>
  <c r="AL94" i="1"/>
  <c r="AM94" i="1"/>
  <c r="B95" i="1"/>
  <c r="G95" i="1"/>
  <c r="AJ95" i="1"/>
  <c r="AD95" i="1"/>
  <c r="AH95" i="1" s="1"/>
  <c r="AF95" i="1" s="1"/>
  <c r="AK95" i="1"/>
  <c r="AE95" i="1"/>
  <c r="AI95" i="1" s="1"/>
  <c r="AG95" i="1" s="1"/>
  <c r="AL95" i="1"/>
  <c r="AM95" i="1"/>
  <c r="B96" i="1"/>
  <c r="G96" i="1"/>
  <c r="AC96" i="1"/>
  <c r="AM96" i="1"/>
  <c r="B97" i="1"/>
  <c r="G97" i="1"/>
  <c r="G98" i="1"/>
  <c r="B99" i="1"/>
  <c r="B110" i="1"/>
  <c r="D110" i="1"/>
  <c r="C111" i="1"/>
  <c r="C112" i="1"/>
  <c r="G112" i="1"/>
  <c r="B113" i="1"/>
  <c r="G113" i="1"/>
  <c r="B114" i="1"/>
  <c r="G114" i="1"/>
  <c r="B115" i="1"/>
  <c r="G115" i="1"/>
  <c r="G116" i="1"/>
  <c r="B117" i="1"/>
  <c r="AD125" i="1"/>
  <c r="AH125" i="1" s="1"/>
  <c r="AF125" i="1" s="1"/>
  <c r="AD126" i="1"/>
  <c r="AH126" i="1" s="1"/>
  <c r="AF126" i="1" s="1"/>
  <c r="AD127" i="1"/>
  <c r="AH127" i="1" s="1"/>
  <c r="AF127" i="1" s="1"/>
  <c r="AD128" i="1"/>
  <c r="AH128" i="1" s="1"/>
  <c r="AF128" i="1" s="1"/>
  <c r="AD129" i="1"/>
  <c r="AH129" i="1" s="1"/>
  <c r="AF129" i="1" s="1"/>
  <c r="AD130" i="1"/>
  <c r="AH130" i="1" s="1"/>
  <c r="AF130" i="1" s="1"/>
  <c r="AD131" i="1"/>
  <c r="AH131" i="1" s="1"/>
  <c r="AF131" i="1" s="1"/>
  <c r="AE131" i="1"/>
  <c r="AD132" i="1"/>
  <c r="AH132" i="1" s="1"/>
  <c r="AF132" i="1" s="1"/>
  <c r="AE132" i="1"/>
  <c r="AI132" i="1" s="1"/>
  <c r="AG132" i="1" s="1"/>
  <c r="AD133" i="1"/>
  <c r="AH133" i="1" s="1"/>
  <c r="AF133" i="1" s="1"/>
  <c r="AE133" i="1"/>
  <c r="AI133" i="1" s="1"/>
  <c r="AG133" i="1" s="1"/>
  <c r="AC134" i="1"/>
  <c r="AD134" i="1"/>
  <c r="AE134" i="1"/>
  <c r="D7" i="8"/>
  <c r="D8" i="8"/>
  <c r="E11" i="8"/>
  <c r="F11" i="8"/>
  <c r="C12" i="8"/>
  <c r="D12" i="8"/>
  <c r="C13" i="8"/>
  <c r="D13" i="8"/>
  <c r="C14" i="8"/>
  <c r="D14" i="8"/>
  <c r="C15" i="8"/>
  <c r="D15" i="8"/>
  <c r="C16" i="8"/>
  <c r="D16" i="8"/>
  <c r="C17" i="8"/>
  <c r="D17" i="8"/>
  <c r="AL96" i="1"/>
  <c r="AJ96" i="1"/>
  <c r="AD96" i="1"/>
  <c r="AH96" i="1" s="1"/>
  <c r="AF96" i="1" s="1"/>
  <c r="AC97" i="1"/>
  <c r="AK96" i="1"/>
  <c r="AE96" i="1"/>
  <c r="AI96" i="1" s="1"/>
  <c r="AG96" i="1" s="1"/>
  <c r="C63" i="1"/>
  <c r="C113" i="1"/>
  <c r="C117" i="1"/>
  <c r="C99" i="1"/>
  <c r="F13" i="8"/>
  <c r="F17" i="8"/>
  <c r="AK97" i="1"/>
  <c r="AE97" i="1"/>
  <c r="AI97" i="1" s="1"/>
  <c r="AG97" i="1" s="1"/>
  <c r="AC98" i="1"/>
  <c r="AM97" i="1"/>
  <c r="AL97" i="1"/>
  <c r="AJ97" i="1"/>
  <c r="AD97" i="1"/>
  <c r="AH97" i="1" s="1"/>
  <c r="AF97" i="1" s="1"/>
  <c r="F12" i="8"/>
  <c r="AL98" i="1"/>
  <c r="AK98" i="1"/>
  <c r="AE98" i="1"/>
  <c r="AI98" i="1" s="1"/>
  <c r="AG98" i="1" s="1"/>
  <c r="AJ98" i="1"/>
  <c r="AD98" i="1"/>
  <c r="AH98" i="1" s="1"/>
  <c r="AF98" i="1" s="1"/>
  <c r="AM98" i="1"/>
  <c r="AC99" i="1"/>
  <c r="AK99" i="1"/>
  <c r="AE99" i="1"/>
  <c r="AM99" i="1"/>
  <c r="AJ99" i="1"/>
  <c r="AD99" i="1"/>
  <c r="AI99" i="1"/>
  <c r="AG99" i="1" s="1"/>
  <c r="AL99" i="1"/>
  <c r="AC100" i="1"/>
  <c r="AH99" i="1"/>
  <c r="AF99" i="1" s="1"/>
  <c r="AL100" i="1"/>
  <c r="AC101" i="1"/>
  <c r="AM100" i="1"/>
  <c r="AJ100" i="1"/>
  <c r="AD100" i="1"/>
  <c r="AH100" i="1" s="1"/>
  <c r="AF100" i="1" s="1"/>
  <c r="AK100" i="1"/>
  <c r="AE100" i="1"/>
  <c r="AI100" i="1" s="1"/>
  <c r="AG100" i="1" s="1"/>
  <c r="AM101" i="1"/>
  <c r="AC102" i="1"/>
  <c r="AJ101" i="1"/>
  <c r="AD101" i="1"/>
  <c r="AH101" i="1" s="1"/>
  <c r="AF101" i="1" s="1"/>
  <c r="AK101" i="1"/>
  <c r="AE101" i="1"/>
  <c r="AI101" i="1" s="1"/>
  <c r="AG101" i="1" s="1"/>
  <c r="AL101" i="1"/>
  <c r="AL102" i="1"/>
  <c r="AC103" i="1"/>
  <c r="AK102" i="1"/>
  <c r="AE102" i="1"/>
  <c r="AJ102" i="1"/>
  <c r="AD102" i="1"/>
  <c r="AH102" i="1" s="1"/>
  <c r="AF102" i="1" s="1"/>
  <c r="AM102" i="1"/>
  <c r="AI102" i="1"/>
  <c r="AG102" i="1" s="1"/>
  <c r="AM103" i="1"/>
  <c r="AK103" i="1"/>
  <c r="AE103" i="1"/>
  <c r="AI103" i="1" s="1"/>
  <c r="AG103" i="1" s="1"/>
  <c r="AJ103" i="1"/>
  <c r="AD103" i="1"/>
  <c r="AH103" i="1" s="1"/>
  <c r="AF103" i="1" s="1"/>
  <c r="AL103" i="1"/>
  <c r="AC104" i="1"/>
  <c r="AJ104" i="1"/>
  <c r="AD104" i="1"/>
  <c r="AH104" i="1" s="1"/>
  <c r="AF104" i="1" s="1"/>
  <c r="AM104" i="1"/>
  <c r="AL104" i="1"/>
  <c r="AK104" i="1"/>
  <c r="AE104" i="1"/>
  <c r="AI104" i="1" s="1"/>
  <c r="AG104" i="1" s="1"/>
  <c r="AC105" i="1"/>
  <c r="AM105" i="1"/>
  <c r="AJ105" i="1"/>
  <c r="AD105" i="1"/>
  <c r="AH105" i="1" s="1"/>
  <c r="AF105" i="1" s="1"/>
  <c r="AC106" i="1"/>
  <c r="AL105" i="1"/>
  <c r="AK105" i="1"/>
  <c r="AE105" i="1"/>
  <c r="AI105" i="1" s="1"/>
  <c r="AG105" i="1" s="1"/>
  <c r="AM106" i="1"/>
  <c r="AJ106" i="1"/>
  <c r="AD106" i="1"/>
  <c r="AH106" i="1" s="1"/>
  <c r="AF106" i="1" s="1"/>
  <c r="AL106" i="1"/>
  <c r="AK106" i="1"/>
  <c r="AE106" i="1"/>
  <c r="AI106" i="1" s="1"/>
  <c r="AG106" i="1" s="1"/>
  <c r="AC107" i="1"/>
  <c r="AM107" i="1"/>
  <c r="AC108" i="1"/>
  <c r="AL107" i="1"/>
  <c r="AJ107" i="1"/>
  <c r="AD107" i="1"/>
  <c r="AH107" i="1" s="1"/>
  <c r="AF107" i="1" s="1"/>
  <c r="AK107" i="1"/>
  <c r="AE107" i="1"/>
  <c r="AI107" i="1" s="1"/>
  <c r="AG107" i="1" s="1"/>
  <c r="AM108" i="1"/>
  <c r="AK108" i="1"/>
  <c r="AE108" i="1"/>
  <c r="AI108" i="1" s="1"/>
  <c r="AG108" i="1" s="1"/>
  <c r="AC109" i="1"/>
  <c r="AJ108" i="1"/>
  <c r="AD108" i="1"/>
  <c r="AH108" i="1" s="1"/>
  <c r="AF108" i="1" s="1"/>
  <c r="AL108" i="1"/>
  <c r="AK109" i="1"/>
  <c r="AE109" i="1"/>
  <c r="AI109" i="1" s="1"/>
  <c r="AG109" i="1" s="1"/>
  <c r="AL109" i="1"/>
  <c r="AM109" i="1"/>
  <c r="AJ109" i="1"/>
  <c r="AD109" i="1"/>
  <c r="AH109" i="1" s="1"/>
  <c r="AF109" i="1" s="1"/>
  <c r="AC110" i="1"/>
  <c r="AJ110" i="1"/>
  <c r="AD110" i="1"/>
  <c r="AH110" i="1" s="1"/>
  <c r="AF110" i="1" s="1"/>
  <c r="AM110" i="1"/>
  <c r="AC111" i="1"/>
  <c r="AK110" i="1"/>
  <c r="AE110" i="1"/>
  <c r="AI110" i="1" s="1"/>
  <c r="AG110" i="1" s="1"/>
  <c r="AL110" i="1"/>
  <c r="AK111" i="1"/>
  <c r="AE111" i="1"/>
  <c r="AI111" i="1" s="1"/>
  <c r="AG111" i="1" s="1"/>
  <c r="AJ111" i="1"/>
  <c r="AD111" i="1"/>
  <c r="AH111" i="1" s="1"/>
  <c r="AF111" i="1" s="1"/>
  <c r="AM111" i="1"/>
  <c r="AL111" i="1"/>
  <c r="AC112" i="1"/>
  <c r="AJ112" i="1"/>
  <c r="AD112" i="1"/>
  <c r="AL112" i="1"/>
  <c r="AC113" i="1"/>
  <c r="AM112" i="1"/>
  <c r="AH112" i="1"/>
  <c r="AF112" i="1" s="1"/>
  <c r="AK112" i="1"/>
  <c r="AE112" i="1"/>
  <c r="AI112" i="1" s="1"/>
  <c r="AG112" i="1" s="1"/>
  <c r="AJ113" i="1"/>
  <c r="AD113" i="1"/>
  <c r="AH113" i="1" s="1"/>
  <c r="AF113" i="1" s="1"/>
  <c r="AK113" i="1"/>
  <c r="AE113" i="1"/>
  <c r="AU6" i="1" s="1"/>
  <c r="AL113" i="1"/>
  <c r="AM113" i="1"/>
  <c r="AC114" i="1"/>
  <c r="AL114" i="1"/>
  <c r="AM114" i="1"/>
  <c r="AK114" i="1"/>
  <c r="AE114" i="1"/>
  <c r="AI114" i="1" s="1"/>
  <c r="AG114" i="1" s="1"/>
  <c r="AC115" i="1"/>
  <c r="AJ114" i="1"/>
  <c r="AD114" i="1"/>
  <c r="AH114" i="1" s="1"/>
  <c r="AF114" i="1" s="1"/>
  <c r="AJ115" i="1"/>
  <c r="AD115" i="1"/>
  <c r="AH115" i="1" s="1"/>
  <c r="AF115" i="1" s="1"/>
  <c r="AK115" i="1"/>
  <c r="AE115" i="1"/>
  <c r="AI115" i="1" s="1"/>
  <c r="AG115" i="1" s="1"/>
  <c r="AM115" i="1"/>
  <c r="AL115" i="1"/>
  <c r="AC116" i="1"/>
  <c r="AJ116" i="1"/>
  <c r="AD116" i="1"/>
  <c r="AH116" i="1" s="1"/>
  <c r="AF116" i="1" s="1"/>
  <c r="AM116" i="1"/>
  <c r="AC117" i="1"/>
  <c r="AL116" i="1"/>
  <c r="AK116" i="1"/>
  <c r="AE116" i="1"/>
  <c r="AI116" i="1" s="1"/>
  <c r="AG116" i="1" s="1"/>
  <c r="AK117" i="1"/>
  <c r="AE117" i="1"/>
  <c r="AI117" i="1" s="1"/>
  <c r="AG117" i="1" s="1"/>
  <c r="AM117" i="1"/>
  <c r="AC118" i="1"/>
  <c r="AL117" i="1"/>
  <c r="AJ117" i="1"/>
  <c r="AD117" i="1"/>
  <c r="AH117" i="1" s="1"/>
  <c r="AF117" i="1" s="1"/>
  <c r="AC119" i="1"/>
  <c r="AM118" i="1"/>
  <c r="AK118" i="1"/>
  <c r="AE118" i="1"/>
  <c r="AI118" i="1" s="1"/>
  <c r="AG118" i="1" s="1"/>
  <c r="AL118" i="1"/>
  <c r="AJ118" i="1"/>
  <c r="AD118" i="1"/>
  <c r="AH118" i="1" s="1"/>
  <c r="AF118" i="1" s="1"/>
  <c r="AC120" i="1"/>
  <c r="AJ119" i="1"/>
  <c r="AD119" i="1"/>
  <c r="AH119" i="1" s="1"/>
  <c r="AF119" i="1" s="1"/>
  <c r="AK119" i="1"/>
  <c r="AE119" i="1"/>
  <c r="AI119" i="1" s="1"/>
  <c r="AG119" i="1" s="1"/>
  <c r="AL119" i="1"/>
  <c r="AM119" i="1"/>
  <c r="AK120" i="1"/>
  <c r="AE120" i="1"/>
  <c r="AI120" i="1" s="1"/>
  <c r="AG120" i="1" s="1"/>
  <c r="AJ120" i="1"/>
  <c r="AD120" i="1"/>
  <c r="AH120" i="1" s="1"/>
  <c r="AF120" i="1" s="1"/>
  <c r="AM120" i="1"/>
  <c r="AC121" i="1"/>
  <c r="AL120" i="1"/>
  <c r="AJ121" i="1"/>
  <c r="AD121" i="1"/>
  <c r="AH121" i="1" s="1"/>
  <c r="AF121" i="1" s="1"/>
  <c r="AK121" i="1"/>
  <c r="AE121" i="1"/>
  <c r="AI121" i="1" s="1"/>
  <c r="AG121" i="1" s="1"/>
  <c r="AC122" i="1"/>
  <c r="AL121" i="1"/>
  <c r="AM121" i="1"/>
  <c r="AM122" i="1"/>
  <c r="AK122" i="1"/>
  <c r="AE122" i="1"/>
  <c r="AI122" i="1" s="1"/>
  <c r="AG122" i="1" s="1"/>
  <c r="AL122" i="1"/>
  <c r="AJ122" i="1"/>
  <c r="AD122" i="1"/>
  <c r="AH122" i="1" s="1"/>
  <c r="AF122" i="1" s="1"/>
  <c r="AC123" i="1"/>
  <c r="AC124" i="1"/>
  <c r="AK123" i="1"/>
  <c r="AE123" i="1"/>
  <c r="AI123" i="1" s="1"/>
  <c r="AG123" i="1" s="1"/>
  <c r="AM123" i="1"/>
  <c r="AJ123" i="1"/>
  <c r="AD123" i="1"/>
  <c r="AH123" i="1" s="1"/>
  <c r="AF123" i="1" s="1"/>
  <c r="AL123" i="1"/>
  <c r="AM124" i="1"/>
  <c r="AJ124" i="1"/>
  <c r="AD124" i="1"/>
  <c r="AH124" i="1" s="1"/>
  <c r="AF124" i="1" s="1"/>
  <c r="AK124" i="1"/>
  <c r="AE124" i="1"/>
  <c r="AI124" i="1" s="1"/>
  <c r="AG124" i="1" s="1"/>
  <c r="AC125" i="1"/>
  <c r="AL124" i="1"/>
  <c r="AM125" i="1"/>
  <c r="AK125" i="1"/>
  <c r="AE125" i="1"/>
  <c r="AI125" i="1" s="1"/>
  <c r="AG125" i="1" s="1"/>
  <c r="AC126" i="1"/>
  <c r="AK126" i="1"/>
  <c r="AE126" i="1"/>
  <c r="AI126" i="1" s="1"/>
  <c r="AG126" i="1" s="1"/>
  <c r="AC127" i="1"/>
  <c r="AM126" i="1"/>
  <c r="AC128" i="1"/>
  <c r="AM127" i="1"/>
  <c r="AK127" i="1"/>
  <c r="AE127" i="1"/>
  <c r="AI127" i="1" s="1"/>
  <c r="AG127" i="1" s="1"/>
  <c r="AC129" i="1"/>
  <c r="AM128" i="1"/>
  <c r="AK128" i="1"/>
  <c r="AE128" i="1"/>
  <c r="AI128" i="1" s="1"/>
  <c r="AG128" i="1" s="1"/>
  <c r="AK129" i="1"/>
  <c r="AE129" i="1"/>
  <c r="AI129" i="1" s="1"/>
  <c r="AG129" i="1" s="1"/>
  <c r="AM129" i="1"/>
  <c r="AC130" i="1"/>
  <c r="AC131" i="1"/>
  <c r="AK130" i="1"/>
  <c r="AE130" i="1"/>
  <c r="AI130" i="1" s="1"/>
  <c r="AG130" i="1" s="1"/>
  <c r="AM130" i="1"/>
  <c r="AI131" i="1"/>
  <c r="AG131" i="1" s="1"/>
  <c r="AC132" i="1"/>
  <c r="AC133" i="1"/>
  <c r="H59" i="1"/>
  <c r="AJ138" i="1"/>
  <c r="AJ139" i="1"/>
  <c r="AL92" i="1"/>
  <c r="H78" i="1"/>
  <c r="H77" i="1"/>
  <c r="AM92" i="1"/>
  <c r="F18" i="8"/>
  <c r="AK92" i="1"/>
  <c r="AE92" i="1" s="1"/>
  <c r="AI92" i="1" s="1"/>
  <c r="AG92" i="1" s="1"/>
  <c r="F14" i="8"/>
  <c r="F16" i="8"/>
  <c r="H42" i="1"/>
  <c r="AJ140" i="1"/>
  <c r="C27" i="1" l="1"/>
  <c r="AI113" i="1"/>
  <c r="AG113" i="1" s="1"/>
  <c r="AI134" i="1"/>
  <c r="AG134" i="1" s="1"/>
  <c r="AU5" i="1"/>
  <c r="G12" i="8" s="1"/>
  <c r="G13" i="8" s="1"/>
  <c r="G14" i="8" s="1"/>
  <c r="G15" i="8" s="1"/>
  <c r="G16" i="8" s="1"/>
  <c r="G17" i="8" s="1"/>
  <c r="G18" i="8" s="1"/>
  <c r="C45" i="1"/>
  <c r="H12" i="8"/>
  <c r="H13" i="8" s="1"/>
  <c r="H14" i="8" s="1"/>
  <c r="H15" i="8" s="1"/>
  <c r="H16" i="8" s="1"/>
  <c r="H17" i="8" s="1"/>
  <c r="H18" i="8" s="1"/>
  <c r="AV6" i="1"/>
  <c r="AV2" i="1"/>
  <c r="AV4" i="1" s="1"/>
  <c r="AG138" i="1"/>
  <c r="AG140" i="1" s="1"/>
  <c r="H23" i="1"/>
  <c r="H43" i="1"/>
  <c r="E13" i="8" s="1"/>
  <c r="AD139" i="1"/>
  <c r="AH134" i="1"/>
  <c r="AF134" i="1" s="1"/>
  <c r="AD138" i="1"/>
  <c r="H115" i="1"/>
  <c r="E17" i="8" s="1"/>
  <c r="H61" i="1"/>
  <c r="E14" i="8" s="1"/>
  <c r="I14" i="8" s="1"/>
  <c r="AU3" i="1"/>
  <c r="AU4" i="1" s="1"/>
  <c r="H79" i="1"/>
  <c r="E15" i="8" s="1"/>
  <c r="I15" i="8" s="1"/>
  <c r="H24" i="1"/>
  <c r="H97" i="1"/>
  <c r="E16" i="8" s="1"/>
  <c r="I16" i="8" s="1"/>
  <c r="AV5" i="1" l="1"/>
  <c r="I17" i="8"/>
  <c r="I13" i="8"/>
  <c r="AD140" i="1"/>
  <c r="H25" i="1"/>
  <c r="E12" i="8" s="1"/>
  <c r="I12" i="8" s="1"/>
  <c r="AU23" i="1"/>
  <c r="AV8" i="1"/>
  <c r="AU19" i="1"/>
  <c r="H80" i="1"/>
  <c r="AZ6" i="1"/>
  <c r="AZ19" i="1" s="1"/>
  <c r="AU8" i="1"/>
  <c r="AV19" i="1"/>
  <c r="AW4" i="1"/>
  <c r="AV22" i="1" s="1"/>
  <c r="AV23" i="1"/>
  <c r="AV9" i="1"/>
  <c r="AU9" i="1"/>
  <c r="H116" i="1"/>
  <c r="H98" i="1"/>
  <c r="H62" i="1"/>
  <c r="AE5" i="1" l="1"/>
  <c r="AE3" i="1"/>
  <c r="AE7" i="1"/>
  <c r="AE4" i="1"/>
  <c r="AE8" i="1"/>
  <c r="H44" i="1"/>
  <c r="AE6" i="1"/>
  <c r="H9" i="1"/>
  <c r="H11" i="1" s="1"/>
  <c r="AV20" i="1"/>
  <c r="AU22" i="1"/>
  <c r="AU20" i="1"/>
  <c r="AU11" i="1"/>
  <c r="AV12" i="1"/>
  <c r="H16" i="1" s="1"/>
  <c r="AV11" i="1"/>
  <c r="AU12" i="1"/>
  <c r="H15" i="1" s="1"/>
  <c r="H10" i="1" l="1"/>
  <c r="E18" i="8"/>
  <c r="I18" i="8" s="1"/>
  <c r="H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 Singleton</author>
  </authors>
  <commentList>
    <comment ref="D11" authorId="0" shapeId="0" xr:uid="{00000000-0006-0000-0100-000001000000}">
      <text>
        <r>
          <rPr>
            <b/>
            <sz val="9"/>
            <color indexed="81"/>
            <rFont val="Verdana"/>
            <family val="2"/>
          </rPr>
          <t>Enter receiver designation for your own internal reference</t>
        </r>
        <r>
          <rPr>
            <sz val="9"/>
            <color indexed="81"/>
            <rFont val="Verdana"/>
            <family val="2"/>
          </rPr>
          <t xml:space="preserve">
</t>
        </r>
      </text>
    </comment>
    <comment ref="D12" authorId="0" shapeId="0" xr:uid="{00000000-0006-0000-0100-000002000000}">
      <text>
        <r>
          <rPr>
            <b/>
            <sz val="9"/>
            <color indexed="81"/>
            <rFont val="Verdana"/>
            <family val="2"/>
          </rPr>
          <t>Select Land Use Category from Pick List:
1. Quiet Outdoor Land Use
2. Residential
3. Institutional Land Use
(refer to Table 4-3)</t>
        </r>
        <r>
          <rPr>
            <sz val="9"/>
            <color indexed="81"/>
            <rFont val="Verdana"/>
            <family val="2"/>
          </rPr>
          <t xml:space="preserve">
</t>
        </r>
      </text>
    </comment>
    <comment ref="D13" authorId="0" shapeId="0" xr:uid="{00000000-0006-0000-0100-000003000000}">
      <text>
        <r>
          <rPr>
            <b/>
            <sz val="9"/>
            <color indexed="81"/>
            <rFont val="Verdana"/>
            <family val="2"/>
          </rPr>
          <t xml:space="preserve">Actual noise measurements are preferred and should be used unless it is not feasibile to conduct the measurements (see Section 4.4 Step 5 of the FTA Manual). Enter the measured noise value in the box.
If existing noise measurements cannot be conducted, select the appropriate generic noise environment from Table 4-17 (Ldn or Leqh).
</t>
        </r>
      </text>
    </comment>
    <comment ref="H15" authorId="0" shapeId="0" xr:uid="{00000000-0006-0000-0100-000004000000}">
      <text>
        <r>
          <rPr>
            <b/>
            <sz val="9"/>
            <color indexed="81"/>
            <rFont val="Verdana"/>
            <family val="2"/>
          </rPr>
          <t xml:space="preserve">The Distance to Moderate Impact contour is given for up to 2 combined sources. If noise from only one source ("Source 1") is calculated, the distance from the receiver to the Moderate Impact contour is shown in this cell.
The distance to the Moderate Impact contour can also be determined for up to two combined sources ("Sources 1+2") that are assumed to be the same distance away from the receiver such as trainset composed of a locomotive (Source 1) and rail cars (Source 2). To calculate the distance to impact contour for 2 combined sources, the following conditions must be met:
- Source 1 and Source 2 must have the same distance adjustment value
- Source 1 and Source 2 must have the same "Source Type"
If noise from more than 2 sources is calculated, the distance to the Moderate Impact contour is not given. </t>
        </r>
      </text>
    </comment>
    <comment ref="H16" authorId="0" shapeId="0" xr:uid="{00000000-0006-0000-0100-000005000000}">
      <text>
        <r>
          <rPr>
            <b/>
            <sz val="9"/>
            <color indexed="81"/>
            <rFont val="Verdana"/>
            <family val="2"/>
          </rPr>
          <t xml:space="preserve">The Distance to Severe Impact contour is given for up to 2 combined sources. If noise from only one source ("Source 1") is calculated, the distance from the receiver to the Severe Impact contour is shown in this cell.
The distance to the Severe Impact contour can also be determined for up to two combined sources ("Sources 1+2") that are assumed to be the same distance away from the receiver such as trainset composed of a locomotive (Source 1) and rail cars (Source 2). To calculate the distance to impact contour for 2 combined sources, the following conditions must be met:
- Source 1 and Source 2 must have the same distance adjustment value
- Source 1 and Source 2 must have the same "Source Type"
If noise from more than 2 sources is calculated, the distance to the Severe Impact contour is not given. </t>
        </r>
        <r>
          <rPr>
            <sz val="9"/>
            <color indexed="81"/>
            <rFont val="Verdana"/>
            <family val="2"/>
          </rPr>
          <t xml:space="preserve">
</t>
        </r>
      </text>
    </comment>
    <comment ref="D18" authorId="0" shapeId="0" xr:uid="{00000000-0006-0000-0100-000006000000}">
      <text>
        <r>
          <rPr>
            <b/>
            <sz val="9"/>
            <color indexed="81"/>
            <rFont val="Verdana"/>
            <family val="2"/>
          </rPr>
          <t>Choose number of noise sources from picklist. You can choose up to 6 sources</t>
        </r>
        <r>
          <rPr>
            <sz val="9"/>
            <color indexed="81"/>
            <rFont val="Verdana"/>
            <family val="2"/>
          </rPr>
          <t xml:space="preserve">
</t>
        </r>
      </text>
    </comment>
    <comment ref="D21" authorId="0" shapeId="0" xr:uid="{00000000-0006-0000-0100-000007000000}">
      <text>
        <r>
          <rPr>
            <b/>
            <sz val="9"/>
            <color indexed="81"/>
            <rFont val="Verdana"/>
            <family val="2"/>
          </rPr>
          <t>Choose Source Type:
- Fixed Guideway
- Highway/Transit
- Stationary Source</t>
        </r>
        <r>
          <rPr>
            <sz val="9"/>
            <color indexed="81"/>
            <rFont val="Verdana"/>
            <family val="2"/>
          </rPr>
          <t xml:space="preserve">
</t>
        </r>
      </text>
    </comment>
    <comment ref="D22" authorId="0" shapeId="0" xr:uid="{00000000-0006-0000-0100-000008000000}">
      <text>
        <r>
          <rPr>
            <b/>
            <sz val="9"/>
            <color indexed="81"/>
            <rFont val="Verdana"/>
            <family val="2"/>
          </rPr>
          <t>Chose your specific noise source from list. The sources on the list will depend on the "Source Type" you chose in the cell above</t>
        </r>
        <r>
          <rPr>
            <sz val="9"/>
            <color indexed="81"/>
            <rFont val="Verdana"/>
            <family val="2"/>
          </rPr>
          <t xml:space="preserve">
</t>
        </r>
      </text>
    </comment>
    <comment ref="D32" authorId="0" shapeId="0" xr:uid="{00000000-0006-0000-0100-000009000000}">
      <text>
        <r>
          <rPr>
            <b/>
            <sz val="9"/>
            <color indexed="81"/>
            <rFont val="Verdana"/>
            <family val="2"/>
          </rPr>
          <t>Enter the number of building rows between the source and the receiver. See Section 4.4 Step 3 for more details.</t>
        </r>
        <r>
          <rPr>
            <sz val="9"/>
            <color indexed="81"/>
            <rFont val="Verdana"/>
            <family val="2"/>
          </rPr>
          <t xml:space="preserve">
</t>
        </r>
      </text>
    </comment>
    <comment ref="D33" authorId="0" shapeId="0" xr:uid="{00000000-0006-0000-0100-00000A000000}">
      <text>
        <r>
          <rPr>
            <b/>
            <sz val="9"/>
            <color indexed="81"/>
            <rFont val="Verdana"/>
            <family val="2"/>
          </rPr>
          <t xml:space="preserve">Does the noise barrier </t>
        </r>
        <r>
          <rPr>
            <b/>
            <i/>
            <sz val="9"/>
            <color indexed="81"/>
            <rFont val="Verdana"/>
            <family val="2"/>
          </rPr>
          <t>completely</t>
        </r>
        <r>
          <rPr>
            <b/>
            <sz val="9"/>
            <color indexed="81"/>
            <rFont val="Verdana"/>
            <family val="2"/>
          </rPr>
          <t xml:space="preserve"> block the line-of-sight between the source and the receiver?</t>
        </r>
        <r>
          <rPr>
            <sz val="9"/>
            <color indexed="81"/>
            <rFont val="Verdana"/>
            <family val="2"/>
          </rPr>
          <t xml:space="preserve">
</t>
        </r>
        <r>
          <rPr>
            <b/>
            <sz val="9"/>
            <color indexed="81"/>
            <rFont val="Verdana"/>
            <family val="2"/>
          </rPr>
          <t>See Section 4-5 Step 3b for more information.</t>
        </r>
      </text>
    </comment>
    <comment ref="D39" authorId="0" shapeId="0" xr:uid="{00000000-0006-0000-0100-00000B000000}">
      <text>
        <r>
          <rPr>
            <b/>
            <sz val="9"/>
            <color indexed="81"/>
            <rFont val="Verdana"/>
            <family val="2"/>
          </rPr>
          <t>Choose Source Type:
- Fixed Guideway
- Highway/Transit
- Stationary Source</t>
        </r>
        <r>
          <rPr>
            <sz val="9"/>
            <color indexed="81"/>
            <rFont val="Verdana"/>
            <family val="2"/>
          </rPr>
          <t xml:space="preserve">
</t>
        </r>
      </text>
    </comment>
    <comment ref="D40" authorId="0" shapeId="0" xr:uid="{00000000-0006-0000-0100-00000C000000}">
      <text>
        <r>
          <rPr>
            <b/>
            <sz val="9"/>
            <color indexed="81"/>
            <rFont val="Verdana"/>
            <family val="2"/>
          </rPr>
          <t>Chose your specific noise source from list. The sources on the list will depend on the "Source Type" you chose in the cell above</t>
        </r>
        <r>
          <rPr>
            <sz val="9"/>
            <color indexed="81"/>
            <rFont val="Verdana"/>
            <family val="2"/>
          </rPr>
          <t xml:space="preserve">
</t>
        </r>
      </text>
    </comment>
    <comment ref="D50" authorId="0" shapeId="0" xr:uid="{00000000-0006-0000-0100-00000D000000}">
      <text>
        <r>
          <rPr>
            <b/>
            <sz val="9"/>
            <color indexed="81"/>
            <rFont val="Verdana"/>
            <family val="2"/>
          </rPr>
          <t>Enter the number of building rows between the source and the receiver. See Section 4-4 Step 3 for more details.</t>
        </r>
        <r>
          <rPr>
            <sz val="9"/>
            <color indexed="81"/>
            <rFont val="Verdana"/>
            <family val="2"/>
          </rPr>
          <t xml:space="preserve">
</t>
        </r>
      </text>
    </comment>
    <comment ref="D51" authorId="0" shapeId="0" xr:uid="{00000000-0006-0000-0100-00000E000000}">
      <text>
        <r>
          <rPr>
            <b/>
            <sz val="9"/>
            <color indexed="81"/>
            <rFont val="Verdana"/>
            <family val="2"/>
          </rPr>
          <t>Does the noise barrier completely block the line-of-sight between the source and the receiver?
See Section 4-5 Step 3b for more information.</t>
        </r>
      </text>
    </comment>
    <comment ref="D57" authorId="0" shapeId="0" xr:uid="{00000000-0006-0000-0100-00000F000000}">
      <text>
        <r>
          <rPr>
            <b/>
            <sz val="9"/>
            <color indexed="81"/>
            <rFont val="Verdana"/>
            <family val="2"/>
          </rPr>
          <t>Choose Source Type:
- Fixed Guideway
- Highway/Transit
- Stationary Source</t>
        </r>
        <r>
          <rPr>
            <sz val="9"/>
            <color indexed="81"/>
            <rFont val="Verdana"/>
            <family val="2"/>
          </rPr>
          <t xml:space="preserve">
</t>
        </r>
      </text>
    </comment>
    <comment ref="D58" authorId="0" shapeId="0" xr:uid="{00000000-0006-0000-0100-000010000000}">
      <text>
        <r>
          <rPr>
            <b/>
            <sz val="9"/>
            <color indexed="81"/>
            <rFont val="Verdana"/>
            <family val="2"/>
          </rPr>
          <t>Chose your specific noise source from list. The sources on the list will depend on the "Source Type" you chose in the cell above</t>
        </r>
        <r>
          <rPr>
            <sz val="9"/>
            <color indexed="81"/>
            <rFont val="Verdana"/>
            <family val="2"/>
          </rPr>
          <t xml:space="preserve">
</t>
        </r>
      </text>
    </comment>
    <comment ref="D68" authorId="0" shapeId="0" xr:uid="{00000000-0006-0000-0100-000011000000}">
      <text>
        <r>
          <rPr>
            <b/>
            <sz val="9"/>
            <color indexed="81"/>
            <rFont val="Verdana"/>
            <family val="2"/>
          </rPr>
          <t>Enter the number of building rows between the source and the receiver. See Section 4-4 Step 3 for more details.</t>
        </r>
        <r>
          <rPr>
            <sz val="9"/>
            <color indexed="81"/>
            <rFont val="Verdana"/>
            <family val="2"/>
          </rPr>
          <t xml:space="preserve">
</t>
        </r>
      </text>
    </comment>
    <comment ref="D69" authorId="0" shapeId="0" xr:uid="{00000000-0006-0000-0100-000012000000}">
      <text>
        <r>
          <rPr>
            <b/>
            <sz val="9"/>
            <color indexed="81"/>
            <rFont val="Verdana"/>
            <family val="2"/>
          </rPr>
          <t>Does the noise barrier completely block the line-of-sight between the source and the receiver?
See Section 4-5 Step 3b for more information.</t>
        </r>
      </text>
    </comment>
    <comment ref="D75" authorId="0" shapeId="0" xr:uid="{00000000-0006-0000-0100-000013000000}">
      <text>
        <r>
          <rPr>
            <b/>
            <sz val="9"/>
            <color indexed="81"/>
            <rFont val="Verdana"/>
            <family val="2"/>
          </rPr>
          <t>Choose Source Type:
- Fixed Guideway
- Highway/Transit
- Stationary Source</t>
        </r>
        <r>
          <rPr>
            <sz val="9"/>
            <color indexed="81"/>
            <rFont val="Verdana"/>
            <family val="2"/>
          </rPr>
          <t xml:space="preserve">
</t>
        </r>
      </text>
    </comment>
    <comment ref="D76" authorId="0" shapeId="0" xr:uid="{00000000-0006-0000-0100-000014000000}">
      <text>
        <r>
          <rPr>
            <b/>
            <sz val="9"/>
            <color indexed="81"/>
            <rFont val="Verdana"/>
            <family val="2"/>
          </rPr>
          <t>Chose your specific noise source from list. The sources on the list will depend on the "Source Type" you chose in the cell above</t>
        </r>
        <r>
          <rPr>
            <sz val="9"/>
            <color indexed="81"/>
            <rFont val="Verdana"/>
            <family val="2"/>
          </rPr>
          <t xml:space="preserve">
</t>
        </r>
      </text>
    </comment>
    <comment ref="D86" authorId="0" shapeId="0" xr:uid="{00000000-0006-0000-0100-000015000000}">
      <text>
        <r>
          <rPr>
            <b/>
            <sz val="9"/>
            <color indexed="81"/>
            <rFont val="Verdana"/>
            <family val="2"/>
          </rPr>
          <t>Enter the number of building rows between the source and the receiver. See Section 4-4 Step 3 for more details.</t>
        </r>
        <r>
          <rPr>
            <sz val="9"/>
            <color indexed="81"/>
            <rFont val="Verdana"/>
            <family val="2"/>
          </rPr>
          <t xml:space="preserve">
</t>
        </r>
      </text>
    </comment>
    <comment ref="D87" authorId="0" shapeId="0" xr:uid="{00000000-0006-0000-0100-000016000000}">
      <text>
        <r>
          <rPr>
            <b/>
            <sz val="9"/>
            <color indexed="81"/>
            <rFont val="Verdana"/>
            <family val="2"/>
          </rPr>
          <t>Does the noise barrier completely block the line-of-sight between the source and the receiver?
See Section 4-5 Step 3b for more information.</t>
        </r>
        <r>
          <rPr>
            <sz val="9"/>
            <color indexed="81"/>
            <rFont val="Verdana"/>
            <family val="2"/>
          </rPr>
          <t xml:space="preserve">
</t>
        </r>
      </text>
    </comment>
    <comment ref="D93" authorId="0" shapeId="0" xr:uid="{00000000-0006-0000-0100-000017000000}">
      <text>
        <r>
          <rPr>
            <b/>
            <sz val="9"/>
            <color indexed="81"/>
            <rFont val="Verdana"/>
            <family val="2"/>
          </rPr>
          <t>Choose Source Type:
- Fixed Guideway
- Highway/Transit
- Stationary Source</t>
        </r>
        <r>
          <rPr>
            <sz val="9"/>
            <color indexed="81"/>
            <rFont val="Verdana"/>
            <family val="2"/>
          </rPr>
          <t xml:space="preserve">
</t>
        </r>
      </text>
    </comment>
    <comment ref="D94" authorId="0" shapeId="0" xr:uid="{00000000-0006-0000-0100-000018000000}">
      <text>
        <r>
          <rPr>
            <b/>
            <sz val="9"/>
            <color indexed="81"/>
            <rFont val="Verdana"/>
            <family val="2"/>
          </rPr>
          <t>Chose your specific noise source from list. The sources on the list will depend on the "Source Type" you chose in the cell above</t>
        </r>
        <r>
          <rPr>
            <sz val="9"/>
            <color indexed="81"/>
            <rFont val="Verdana"/>
            <family val="2"/>
          </rPr>
          <t xml:space="preserve">
</t>
        </r>
      </text>
    </comment>
    <comment ref="D104" authorId="0" shapeId="0" xr:uid="{00000000-0006-0000-0100-000019000000}">
      <text>
        <r>
          <rPr>
            <b/>
            <sz val="9"/>
            <color indexed="81"/>
            <rFont val="Verdana"/>
            <family val="2"/>
          </rPr>
          <t>Enter the number of building rows between the source and the receiver. See Section 4-4 Step 3 for more details.</t>
        </r>
        <r>
          <rPr>
            <sz val="9"/>
            <color indexed="81"/>
            <rFont val="Verdana"/>
            <family val="2"/>
          </rPr>
          <t xml:space="preserve">
</t>
        </r>
      </text>
    </comment>
    <comment ref="D105" authorId="0" shapeId="0" xr:uid="{00000000-0006-0000-0100-00001A000000}">
      <text>
        <r>
          <rPr>
            <b/>
            <sz val="9"/>
            <color indexed="81"/>
            <rFont val="Verdana"/>
            <family val="2"/>
          </rPr>
          <t>Does the noise barrier completely block the line-of-sight between the source and the receiver?
See Section 4-5 Step 3b for more information.</t>
        </r>
        <r>
          <rPr>
            <sz val="9"/>
            <color indexed="81"/>
            <rFont val="Verdana"/>
            <family val="2"/>
          </rPr>
          <t xml:space="preserve">
</t>
        </r>
      </text>
    </comment>
    <comment ref="D111" authorId="0" shapeId="0" xr:uid="{00000000-0006-0000-0100-00001B000000}">
      <text>
        <r>
          <rPr>
            <b/>
            <sz val="9"/>
            <color indexed="81"/>
            <rFont val="Verdana"/>
            <family val="2"/>
          </rPr>
          <t>Choose Source Type:
- Fixed Guideway
- Highway/Transit
- Stationary Source</t>
        </r>
        <r>
          <rPr>
            <sz val="9"/>
            <color indexed="81"/>
            <rFont val="Verdana"/>
            <family val="2"/>
          </rPr>
          <t xml:space="preserve">
</t>
        </r>
      </text>
    </comment>
    <comment ref="D112" authorId="0" shapeId="0" xr:uid="{00000000-0006-0000-0100-00001C000000}">
      <text>
        <r>
          <rPr>
            <b/>
            <sz val="9"/>
            <color indexed="81"/>
            <rFont val="Verdana"/>
            <family val="2"/>
          </rPr>
          <t>Chose your specific noise source from list. The sources on the list will depend on the "Source Type" you chose in the cell above</t>
        </r>
        <r>
          <rPr>
            <sz val="9"/>
            <color indexed="81"/>
            <rFont val="Verdana"/>
            <family val="2"/>
          </rPr>
          <t xml:space="preserve">
</t>
        </r>
      </text>
    </comment>
    <comment ref="D122" authorId="0" shapeId="0" xr:uid="{00000000-0006-0000-0100-00001D000000}">
      <text>
        <r>
          <rPr>
            <b/>
            <sz val="9"/>
            <color indexed="81"/>
            <rFont val="Verdana"/>
            <family val="2"/>
          </rPr>
          <t>Enter the number of building rows between the source and the receiver. See Section 4-4 Step 3 for more details.</t>
        </r>
        <r>
          <rPr>
            <sz val="9"/>
            <color indexed="81"/>
            <rFont val="Verdana"/>
            <family val="2"/>
          </rPr>
          <t xml:space="preserve">
</t>
        </r>
      </text>
    </comment>
    <comment ref="D123" authorId="0" shapeId="0" xr:uid="{00000000-0006-0000-0100-00001E000000}">
      <text>
        <r>
          <rPr>
            <b/>
            <sz val="9"/>
            <color indexed="81"/>
            <rFont val="Verdana"/>
            <family val="2"/>
          </rPr>
          <t>Does the noise barrier completely block the line-of-sight between the source and the receiver?
See Section 4-5 Step 3b for more information.</t>
        </r>
        <r>
          <rPr>
            <sz val="9"/>
            <color indexed="81"/>
            <rFont val="Verdana"/>
            <family val="2"/>
          </rPr>
          <t xml:space="preserve">
</t>
        </r>
      </text>
    </comment>
  </commentList>
</comments>
</file>

<file path=xl/sharedStrings.xml><?xml version="1.0" encoding="utf-8"?>
<sst xmlns="http://schemas.openxmlformats.org/spreadsheetml/2006/main" count="668" uniqueCount="194">
  <si>
    <t>Number of Intervening Rows of Buildings</t>
  </si>
  <si>
    <t>Distance from Source to Receiver (ft)</t>
  </si>
  <si>
    <r>
      <t>Noise Barrier:</t>
    </r>
    <r>
      <rPr>
        <sz val="11"/>
        <rFont val="Arial"/>
        <family val="2"/>
      </rPr>
      <t xml:space="preserve">  This allows the user to approximate the benefits of installing a noise barrier.  If "Yes" is selected from the drop-down list, the noise level for the source is reduced by 5 dB for Rail Transit Vehicles, Rail Cars, Highway/Transit sources, and Stationary sources.  This is appropriate only if the following conditions are met:  the noise barrier needs to be high enough to completely block the line-of-sight between the noise source and the receiver; the barrier must be free of any gaps or openings; and the barrier should be constructed out of an outdoor weather-resistant material such as wood or concrete.  If these conditions are not met, the effectiveness of the barrier will be overestimated.  If the user is not sure these conditions can be met, then "No" should be chosen.  Refer to Section 6.8.3 in the guidance for more information.  </t>
    </r>
  </si>
  <si>
    <r>
      <t>Noise Source Parameters:</t>
    </r>
    <r>
      <rPr>
        <sz val="11"/>
        <rFont val="Arial"/>
        <family val="2"/>
      </rPr>
      <t xml:space="preserve">  The number of noise sources specified by the user determines the number of Noise Source Parameters boxes displayed by the spreadsheet for which project data must be entered.  For each box, the user must first specify a Source Type, either Fixed Guideway, Highway/Transit, or Stationary Source.  Selecting a source type leads to a drop-down list in the cell below from which the user chooses a specific source.  For example, selecting Fixed Guideway leads to a list of specific sources including diesel-electric locomotives, DMUs, etc.</t>
    </r>
  </si>
  <si>
    <r>
      <t>Distance:</t>
    </r>
    <r>
      <rPr>
        <sz val="11"/>
        <rFont val="Arial"/>
        <family val="2"/>
      </rPr>
      <t xml:space="preserve">  The distance from the source to the receiver must be specified.  If more than one source is being analyzed, the distances between the sources and the receiver may be different.  In the case of a commuter train, however, the distance between the two sources (locomotive and rail cars) and the receiver would be the same.</t>
    </r>
  </si>
  <si>
    <r>
      <t>Adjustments:</t>
    </r>
    <r>
      <rPr>
        <sz val="11"/>
        <rFont val="Arial"/>
        <family val="2"/>
      </rPr>
      <t xml:space="preserve">  Various adjustments are available depending on the specific source chosen above:  </t>
    </r>
  </si>
  <si>
    <r>
      <t>Number of Noise Sources:</t>
    </r>
    <r>
      <rPr>
        <sz val="11"/>
        <rFont val="Arial"/>
        <family val="2"/>
      </rPr>
      <t xml:space="preserve">  First, the number of noise sources to be analyzed for a given receiver must be entered.  From the drop-down list, the user can specify up to six separate sources.  The spreadsheet will then calculate a combined noise level (Ldn or Leq(h) depending on receiver land use) from all noise sources at the receiver.  For instance, when determining noise impact at a receiver located near a commuter rail track, two sources can be selected to calculate noise levels from a train which is made up of a diesel-electric locomotive and rail cars.  Multiple sources can also be used to determine combined noise from a complex situation, such as a light rail transit station where the model can calculate the total noise from LRT trains, grade-crossing bells, and park-and-ride activity.</t>
    </r>
  </si>
  <si>
    <t>Avg. Number of Vehicles/train</t>
  </si>
  <si>
    <t>Number of Vehicles/train</t>
  </si>
  <si>
    <t>This table can be copied and pasted into a word-processing or spreadsheet document to perform additional calculations or to present results for publication.</t>
  </si>
  <si>
    <t xml:space="preserve">The report page tabulates the noise levels for each source as well as the total combined noise level for all sources. </t>
  </si>
  <si>
    <t xml:space="preserve">• First two columns list the sources and their distances from the receiver.  </t>
  </si>
  <si>
    <t>• Third column shows the noise from each source.</t>
  </si>
  <si>
    <t>• Fourth column has the existing noise level at the receiver.</t>
  </si>
  <si>
    <t>Results are given in the red boxes to the right of Receiver Parameters and Noise Source Parameters.  In addition to a summary box, separate boxes below display the noise prediction results for each source analyzed.</t>
  </si>
  <si>
    <r>
      <t xml:space="preserve">Please note: </t>
    </r>
    <r>
      <rPr>
        <sz val="11"/>
        <rFont val="Arial"/>
        <family val="2"/>
      </rPr>
      <t xml:space="preserve"> After the operating data are entered in the cells for a specific source, if the user should subsequently change the specific source, the previously entered operating data will not be wiped out.  The user must enter the new operating data for the new source over the old data in the cells.</t>
    </r>
  </si>
  <si>
    <t>1+2+3+4+5+6</t>
  </si>
  <si>
    <t>leqd at 50 ft</t>
  </si>
  <si>
    <t>leqn at 50 ft</t>
  </si>
  <si>
    <t>Distance</t>
  </si>
  <si>
    <t>Noise Criteria</t>
  </si>
  <si>
    <t>Mod. Impact</t>
  </si>
  <si>
    <t>Sev. Impact</t>
  </si>
  <si>
    <t>Distance to Impact Contours</t>
  </si>
  <si>
    <t>Avg. Number of vehicles/train</t>
  </si>
  <si>
    <t>Number of vehicles/train</t>
  </si>
  <si>
    <t>Suburban</t>
  </si>
  <si>
    <t>1. Outdoor Quiet</t>
  </si>
  <si>
    <t>3. Institutional</t>
  </si>
  <si>
    <t>Source</t>
  </si>
  <si>
    <t>Report:</t>
  </si>
  <si>
    <t>purpose AC4 through AC15 is to put maglev and monorail low on the list of sources without screwing vlookup functions which want things in alphabetical order</t>
  </si>
  <si>
    <t>Avg. Number of Rail Cars/train</t>
  </si>
  <si>
    <t>Number of Rail Cars/train</t>
  </si>
  <si>
    <t>Avg. Number of Transit Vehicles/train</t>
  </si>
  <si>
    <t>Number of Transit Vehicles/train</t>
  </si>
  <si>
    <t>Number of Buses/hr</t>
  </si>
  <si>
    <t>Number of Buses Serviced/hr</t>
  </si>
  <si>
    <t>Number of Trains/hr</t>
  </si>
  <si>
    <t>Number Ferry Landings/hr</t>
  </si>
  <si>
    <t>Number of Autos/hr</t>
  </si>
  <si>
    <t>• Fifth and sixth columns give the noise impact criterion levels, Moderate and Severe, that relate to the existing ambient noise level in the fourth column.</t>
  </si>
  <si>
    <t>• Seventh column gives the noise impact rating for each source. (This information may be useful in identifying which source is dominant in causing impact.)</t>
  </si>
  <si>
    <t>• Bottom row of the table shows the cumulative noise effect of all sources and the resulting overall impact at the receiver.</t>
  </si>
  <si>
    <t>A “receiver” is a noise-sensitive site.  The user begins by entering information about the receiver in the green-shaded cells. The Receiver cell is for the user's own reference and can be any identifier.</t>
  </si>
  <si>
    <t>Receiver Parameters:</t>
  </si>
  <si>
    <t>Noise Source Parameters:</t>
  </si>
  <si>
    <t>Number of Noise Sources:</t>
  </si>
  <si>
    <t>Receiver Parameters</t>
  </si>
  <si>
    <t>Ferry Terminal (no fog horn)</t>
  </si>
  <si>
    <t>Ferry Terminal (w/ fog horn)</t>
  </si>
  <si>
    <t>source 1</t>
  </si>
  <si>
    <t>Impact Plots:</t>
  </si>
  <si>
    <t>Project Results:</t>
  </si>
  <si>
    <t>Rail Yard &amp; Shops</t>
  </si>
  <si>
    <t>Locomotive Warning Horn</t>
  </si>
  <si>
    <t>Layover Tracks (commuter rail)</t>
  </si>
  <si>
    <t>Crossovers</t>
  </si>
  <si>
    <t>Crossing Signals</t>
  </si>
  <si>
    <t>Impact?</t>
  </si>
  <si>
    <t>number of sources</t>
  </si>
  <si>
    <t xml:space="preserve">The user enters information about the noise source or sources in the blue-shaded cells.  </t>
  </si>
  <si>
    <t>old line 1</t>
  </si>
  <si>
    <t>line</t>
  </si>
  <si>
    <t>station</t>
  </si>
  <si>
    <t>25log(d/50)</t>
  </si>
  <si>
    <t>Total Noise Exposure:</t>
  </si>
  <si>
    <t>Increase:</t>
  </si>
  <si>
    <t>Impact?:</t>
  </si>
  <si>
    <t>Quiet Urban</t>
  </si>
  <si>
    <t>Noisy Urban</t>
  </si>
  <si>
    <t>Mod impact</t>
  </si>
  <si>
    <t>Receiver:</t>
  </si>
  <si>
    <t>Source Type:</t>
  </si>
  <si>
    <t>Specific Source:</t>
  </si>
  <si>
    <t>Bus Storage Yard</t>
  </si>
  <si>
    <t>2. Residential</t>
  </si>
  <si>
    <t>Project Results Summary</t>
  </si>
  <si>
    <t>Avg. Number of Buses/hr</t>
  </si>
  <si>
    <t>Avg. Number of Trains/hr</t>
  </si>
  <si>
    <t>Avg. Number Ferry Landings/hr</t>
  </si>
  <si>
    <t>Project Noise Exposure/Leqh (dBA)</t>
  </si>
  <si>
    <t>Source 1  Results</t>
  </si>
  <si>
    <t>Signal Duration/hr (seconds)</t>
  </si>
  <si>
    <t>ldn's</t>
  </si>
  <si>
    <t>1+2</t>
  </si>
  <si>
    <t>1+2+3</t>
  </si>
  <si>
    <t>1+2+3+4</t>
  </si>
  <si>
    <t>1+2+3+4+5</t>
  </si>
  <si>
    <t>Electric Locomotive</t>
  </si>
  <si>
    <t>source 2</t>
  </si>
  <si>
    <t>source 3</t>
  </si>
  <si>
    <t>source 4</t>
  </si>
  <si>
    <t>source 5</t>
  </si>
  <si>
    <t>source 6</t>
  </si>
  <si>
    <t>Sev impact</t>
  </si>
  <si>
    <t>Le:</t>
  </si>
  <si>
    <t>Lp</t>
  </si>
  <si>
    <t>Source 1</t>
  </si>
  <si>
    <t/>
  </si>
  <si>
    <t>Bus Operating Facility</t>
  </si>
  <si>
    <t>--</t>
  </si>
  <si>
    <t>Adjustments</t>
  </si>
  <si>
    <t>Noise Source Parameters</t>
  </si>
  <si>
    <t>Project:</t>
  </si>
  <si>
    <t>cat 1&amp; 2</t>
  </si>
  <si>
    <t>cat 3</t>
  </si>
  <si>
    <t>dist to stationary source</t>
  </si>
  <si>
    <t>dist to line</t>
  </si>
  <si>
    <t>Embedded Track?</t>
  </si>
  <si>
    <t>Jointed Track?</t>
  </si>
  <si>
    <t>Aerial Structure?</t>
  </si>
  <si>
    <t>Bus Operating Facilitty</t>
  </si>
  <si>
    <t>Bus Transit Center</t>
  </si>
  <si>
    <t>Ferry Boat (no fog horn)</t>
  </si>
  <si>
    <t>Ferry Boat (w/ fog horn)</t>
  </si>
  <si>
    <t>Parking Garage</t>
  </si>
  <si>
    <t>Avg. Number of Autos/hr</t>
  </si>
  <si>
    <t>Land Use Category:</t>
  </si>
  <si>
    <t>adjustements</t>
  </si>
  <si>
    <t>Rail Transit Vehicle</t>
  </si>
  <si>
    <t>old existing noise meu</t>
  </si>
  <si>
    <t>Estimated Value from Table 5-7 (enter below)</t>
  </si>
  <si>
    <t>Stationary Source</t>
  </si>
  <si>
    <t>Rail Car</t>
  </si>
  <si>
    <t>Diesel Electric Locomotive</t>
  </si>
  <si>
    <t>Diesel Multiple Unit (DMU)</t>
  </si>
  <si>
    <t>Small Town Residential</t>
  </si>
  <si>
    <t>Surban</t>
  </si>
  <si>
    <t>Noise Urban</t>
  </si>
  <si>
    <t>Federal Transit Administration</t>
  </si>
  <si>
    <t>AGT/Steel Wheel</t>
  </si>
  <si>
    <t>AGT/Rubber Tire</t>
  </si>
  <si>
    <t>Yes</t>
  </si>
  <si>
    <t>No</t>
  </si>
  <si>
    <t>Receiver 1</t>
  </si>
  <si>
    <t>Project Noise Exposure/Ldn (dBA)</t>
  </si>
  <si>
    <t>src 1</t>
  </si>
  <si>
    <t>src 1+2</t>
  </si>
  <si>
    <t>line corr</t>
  </si>
  <si>
    <t>stat corr</t>
  </si>
  <si>
    <t>old line 1+2</t>
  </si>
  <si>
    <t>Park &amp; Ride Lot</t>
  </si>
  <si>
    <t>Ldn</t>
  </si>
  <si>
    <t>Leqhday</t>
  </si>
  <si>
    <t>Leqhnight</t>
  </si>
  <si>
    <t>day</t>
  </si>
  <si>
    <t>night</t>
  </si>
  <si>
    <t>Fixed Guideway</t>
  </si>
  <si>
    <t>Transit warning device</t>
  </si>
  <si>
    <t>Monorail</t>
  </si>
  <si>
    <t>Maglev</t>
  </si>
  <si>
    <t>Automobiles and Vans</t>
  </si>
  <si>
    <t>Buses (diesel-powered)</t>
  </si>
  <si>
    <t>Buses (electric)</t>
  </si>
  <si>
    <t>Buses (hybrid)</t>
  </si>
  <si>
    <t>Combined Sources</t>
  </si>
  <si>
    <t>Existing Noise (Measured or Generic Value):</t>
  </si>
  <si>
    <t>Noise Impact Assessment Spreadsheet</t>
  </si>
  <si>
    <t>DESCRIPTION OF THE FTA NOISE IMPACT ASSESSMENT SPREADSHEET</t>
  </si>
  <si>
    <t>Automated Guideway Transit /Rubber Tire</t>
  </si>
  <si>
    <t>Automated Guideway Transit /Steel Wheel</t>
  </si>
  <si>
    <t>Avg. Number of Buses Serviced/hr</t>
  </si>
  <si>
    <t>Avg. Number of Locos/train</t>
  </si>
  <si>
    <t>Number of Locos/train</t>
  </si>
  <si>
    <t>City Downtown</t>
  </si>
  <si>
    <t>Highway/Transit</t>
  </si>
  <si>
    <t>Measured Value (enter below)</t>
  </si>
  <si>
    <t>The number of rows of buildings between the source and the receiver must be specified. For receivers behind one or more rows of buildings that provide shielding, an attenuation  of 4.5 dB is applied to the first row, and 1.5 dB is applied for each subsequent row, up to a maximum total attenuation of 10 dB. This adjustment applies only where the gaps between buildings constitute less than 35 percent of the length of the row.</t>
  </si>
  <si>
    <t>Automated Guideway Transit /Rubber Tire</t>
    <phoneticPr fontId="3"/>
  </si>
  <si>
    <t>Automated Guideway Transit /Steel Wheel</t>
    <phoneticPr fontId="3"/>
  </si>
  <si>
    <t>Automated Guideway Transit /Rubber Tire</t>
    <phoneticPr fontId="3"/>
  </si>
  <si>
    <t>Automated Guideway Transit /Steel Wheel</t>
    <phoneticPr fontId="3"/>
  </si>
  <si>
    <t>Avg. Number of DMU's/train</t>
  </si>
  <si>
    <t>Number of DMU's/train</t>
  </si>
  <si>
    <t>Rail Transit Vehicle/Streetcar &lt;= 25 mph</t>
  </si>
  <si>
    <t>Rail Transit Vehicle/Streetcar &lt;=25 mph</t>
  </si>
  <si>
    <t>Rail Transit Vehicle/Streetcar &gt; 25 mph</t>
  </si>
  <si>
    <t>15 log(d/50)</t>
  </si>
  <si>
    <t>Moderate Impact</t>
  </si>
  <si>
    <t>Severe Impact</t>
  </si>
  <si>
    <t>ldn/leq at 50 ft</t>
  </si>
  <si>
    <t>This spreadsheet enables the user to predict noise levels from transit sources and evaluate the level of impact on noise-sensitive receivers.  It incorporates the procedures for a General Noise Assessment contained in Section 4.4 of the Federal Transit Administration’s guidance manual, “Transit Noise and Vibration Impact Assessment.”  The FTA guidance describes situations where a General Noise Assessment is appropriate.  In situations where Detailed Noise Analysis is needed (e.g., for new fixed-guideway projects in preliminary engineering), this spreadsheet should not be used; instead, the procedures in Section 4.5 of the guidance should be followed.</t>
  </si>
  <si>
    <r>
      <t xml:space="preserve">The main spreadsheet is divided into three sections in the </t>
    </r>
    <r>
      <rPr>
        <b/>
        <sz val="11"/>
        <rFont val="Arial"/>
        <family val="2"/>
      </rPr>
      <t>Calculations</t>
    </r>
    <r>
      <rPr>
        <sz val="11"/>
        <rFont val="Arial"/>
        <family val="2"/>
      </rPr>
      <t xml:space="preserve"> tab:  Receiver Parameters, Noise Source Parameters, and Project Results.  The sections below give directions on how the user provides the relevant inputs to the model to obtain project noise levels and an assessment of impact on selected receivers.  The default spreadsheet is set up to model the transit scenario in Example 4-1, Part 1 in the guidance manual. The user is encouraged to use the spreadsheet to complete the other examples in Section 4.4 to understand how the spreadsheet works.  References to the FTA guidance are made below where elaboration is needed. </t>
    </r>
  </si>
  <si>
    <r>
      <t>Land Use Category:</t>
    </r>
    <r>
      <rPr>
        <sz val="11"/>
        <rFont val="Arial"/>
        <family val="2"/>
      </rPr>
      <t xml:space="preserve">  With respect to each receiver, the user must first select the  appropriate land-use category from three choices provided in a drop-down list.  The choice of land-use category determines the specific noise descriptor and impact criteria that will be used in the spreadsheet calculations.  FTA’s noise impact criteria are based on Ldn for Category 2 land uses and one-hour Leq for the noisiest hour of transit-related activity for Category 1 and 3 land uses (see Table 4-5 in the guidance).  </t>
    </r>
  </si>
  <si>
    <r>
      <t>Specific Source:</t>
    </r>
    <r>
      <rPr>
        <sz val="11"/>
        <rFont val="Arial"/>
        <family val="2"/>
      </rPr>
      <t xml:space="preserve">  Depending on the specific source selected, the subsequent cells in the box ask the user to provide operating information for the project, such as frequency of operations, duration of individual events, average speed, etc.  The specific operating information needed depends on the source and also the land-use category that was selected under Receiver Parameters.  If land-use category 2 was selected, operating data for daytime (7 am-10 pm) and nighttime (10 pm-7 am) hours must be provided.  If category 1 or 3 was selected, operating data for the busiest transit hour during the time of use of the noise-sensitive facility must be provided.  Parameters for all land-use categories are based on hourly or average hourly traffic, and number of locomotives/rail cars/rail transit vehicles in a given consist.  The specific parameters will change based on the specific source.  Refer to tables 4-10, 4-12, and 4-14 for further definition of the parameters and options.   </t>
    </r>
  </si>
  <si>
    <r>
      <t>Jointed Track/Embedded Track/Aerial Structure:</t>
    </r>
    <r>
      <rPr>
        <sz val="11"/>
        <rFont val="Arial"/>
        <family val="2"/>
      </rPr>
      <t xml:space="preserve">  These adjustments are for Rail Transit Vehicles and Rail Cars only.  If "Yes" is selected from the drop-down list for any of these sources, the noise level of the source is increased based on the values given in Table 4-10.</t>
    </r>
  </si>
  <si>
    <r>
      <t>Project Results Summary:</t>
    </r>
    <r>
      <rPr>
        <sz val="11"/>
        <rFont val="Arial"/>
        <family val="2"/>
      </rPr>
      <t xml:space="preserve">  This box shows the total project noise level at the receiver (Ldn or Leq(h)) which is the combined noise level from all the sources analyzed.  The Total Noise Exposure shows the new cumulative noise level when project noise is added to the existing noise level.  The Increase shows the difference between the existing and the new cumulative noise environments.  This box also predicts the level of impact ("None," "Moderate," or "Severe") based on FTA’s noise impact criteria (refer to Fig. 4-2 in the guidance manual).  </t>
    </r>
  </si>
  <si>
    <r>
      <t>Distance to Impact Contours:</t>
    </r>
    <r>
      <rPr>
        <sz val="11"/>
        <rFont val="Arial"/>
        <family val="2"/>
      </rPr>
      <t xml:space="preserve">  In certain cases the spreadsheet will indicate the distances from the noise source to the points at which moderate impact and severe impact occur.  This can only be done when one or two sources are being analyzed.  With two sources, both must be the same source type and the same distance from the receiver, for example, a commuter train with a locomotive and rail cars.  Example 4-1, Part 1 in the guidance manual is such a case.  Distance to impact contours will not be shown for more complex cases.</t>
    </r>
  </si>
  <si>
    <r>
      <t>Noise Impact Criteria:</t>
    </r>
    <r>
      <rPr>
        <sz val="11"/>
        <rFont val="Arial"/>
        <family val="2"/>
      </rPr>
      <t xml:space="preserve">  The level of impact is determined based on the combined noise level from all sources at the receiver and the existing noise level at the receiver.  The level of impact is plotted against the noise impact criteria curves from Figure 4-1 in the guidance.  This is displayed in the Calculations tab as well as the Impact Plots tab.  The Moderate and Severe impact criteria curves are based on the land-use category chosen in the Receiver Parameters box.  Therefore, the impact criteria curves and the y-axis (Project Noise Level) label will conform automatically to the land-use category selected.</t>
    </r>
  </si>
  <si>
    <r>
      <t xml:space="preserve">Increase in Cumulative Noise Levels Allowed: </t>
    </r>
    <r>
      <rPr>
        <sz val="11"/>
        <rFont val="Arial"/>
        <family val="2"/>
      </rPr>
      <t xml:space="preserve"> In certain cases, the cumulative form of the noise impact criteria should be used.  In general, these situations occur when the existing noise environment already has transit noise in it and the existing noise sources may change as a result of the project.  This plot from Figure 4-3 in the guidance presents noise impact in terms of the increase in cumulative noise levels due to the project.  See Section 4.1 Step 3 for further discussion on when this form of the criteria should be used.  In both plots, the Project Noise Level/Increase in Cumulative Noise Level values are shown next to the marker.</t>
    </r>
  </si>
  <si>
    <t xml:space="preserve">Finally, the steps outlined above would be repeated for each individual receiver and receiver representing a cluster of noise-sensitive sites that may be affected by the project.  The boundaries for the noise impact assessment can be established by using the screening procedure in Section 4.3 of the guidance.   </t>
  </si>
  <si>
    <r>
      <t>Existing Noise:</t>
    </r>
    <r>
      <rPr>
        <sz val="11"/>
        <rFont val="Arial"/>
        <family val="2"/>
      </rPr>
      <t xml:space="preserve">  The user must enter the existing noise level at the receiver.  The validity of the noise impact assessment depends heavily on an accurate estimate of existing noise.  Full or partial measurements are always preferred.  Depending on the land-use category selected, the user enters the measured existing noise level (Ldn or Leq(h)) in the cell, Existing Noise (Measured or Generic Value).  For situations where actual measurements cannot be obtained, the user should apply the appropriate noise levels from Table 4-17 in the guidance manual.  Further information on determining existing noise levels – including a discussion of the methods considered most accurate -- is found in Appendix E in the manual.</t>
    </r>
  </si>
  <si>
    <t>version: 1/29/2019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</si>
</sst>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 &quot;dBA&quot;"/>
    <numFmt numFmtId="166" formatCode="#\ &quot;ft&quot;"/>
    <numFmt numFmtId="167" formatCode="#0\ &quot;dB&quot;"/>
    <numFmt numFmtId="168" formatCode="mmmm\ d\,\ yyyy"/>
    <numFmt numFmtId="169" formatCode="0.0\ &quot;dBA&quot;"/>
    <numFmt numFmtId="170" formatCode="0.0000000000000"/>
  </numFmts>
  <fonts count="27" x14ac:knownFonts="1">
    <font>
      <sz val="10"/>
      <name val="Verdana"/>
    </font>
    <font>
      <b/>
      <sz val="10"/>
      <name val="Verdana"/>
      <family val="2"/>
    </font>
    <font>
      <sz val="10"/>
      <name val="Verdana"/>
      <family val="2"/>
    </font>
    <font>
      <sz val="8"/>
      <name val="Verdana"/>
      <family val="2"/>
    </font>
    <font>
      <b/>
      <sz val="10"/>
      <name val="Arial"/>
      <family val="2"/>
    </font>
    <font>
      <b/>
      <sz val="9"/>
      <color indexed="81"/>
      <name val="Verdana"/>
      <family val="2"/>
    </font>
    <font>
      <sz val="9"/>
      <color indexed="81"/>
      <name val="Verdana"/>
      <family val="2"/>
    </font>
    <font>
      <b/>
      <i/>
      <sz val="9"/>
      <color indexed="81"/>
      <name val="Verdana"/>
      <family val="2"/>
    </font>
    <font>
      <sz val="10"/>
      <name val="Arial"/>
      <family val="2"/>
    </font>
    <font>
      <sz val="11"/>
      <name val="Arial"/>
      <family val="2"/>
    </font>
    <font>
      <b/>
      <sz val="11"/>
      <name val="Arial"/>
      <family val="2"/>
    </font>
    <font>
      <b/>
      <sz val="11"/>
      <name val="Arial"/>
      <family val="2"/>
    </font>
    <font>
      <sz val="11"/>
      <name val="Arial"/>
      <family val="2"/>
    </font>
    <font>
      <u/>
      <sz val="11"/>
      <name val="Arial"/>
      <family val="2"/>
    </font>
    <font>
      <sz val="10"/>
      <name val="Verdana"/>
      <family val="2"/>
    </font>
    <font>
      <sz val="10"/>
      <name val="Arial"/>
      <family val="2"/>
    </font>
    <font>
      <b/>
      <sz val="10"/>
      <name val="Verdana"/>
      <family val="2"/>
    </font>
    <font>
      <b/>
      <sz val="11"/>
      <name val="Arial"/>
      <family val="2"/>
    </font>
    <font>
      <b/>
      <sz val="10"/>
      <name val="Arial"/>
      <family val="2"/>
    </font>
    <font>
      <b/>
      <sz val="9"/>
      <name val="Arial"/>
      <family val="2"/>
    </font>
    <font>
      <sz val="11"/>
      <name val="Arial"/>
      <family val="2"/>
    </font>
    <font>
      <sz val="10"/>
      <color theme="0"/>
      <name val="Arial"/>
      <family val="2"/>
    </font>
    <font>
      <sz val="10"/>
      <color theme="0"/>
      <name val="Verdana"/>
      <family val="2"/>
    </font>
    <font>
      <b/>
      <sz val="10"/>
      <color theme="0"/>
      <name val="Verdana"/>
      <family val="2"/>
    </font>
    <font>
      <b/>
      <sz val="10"/>
      <color theme="0"/>
      <name val="Arial"/>
      <family val="2"/>
    </font>
    <font>
      <b/>
      <i/>
      <sz val="10"/>
      <color theme="0"/>
      <name val="Arial"/>
      <family val="2"/>
    </font>
    <font>
      <sz val="12"/>
      <color theme="0"/>
      <name val="Arial"/>
      <family val="2"/>
    </font>
  </fonts>
  <fills count="7">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41"/>
        <bgColor indexed="64"/>
      </patternFill>
    </fill>
  </fills>
  <borders count="65">
    <border>
      <left/>
      <right/>
      <top/>
      <bottom/>
      <diagonal/>
    </border>
    <border>
      <left/>
      <right/>
      <top/>
      <bottom style="thick">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ck">
        <color indexed="16"/>
      </left>
      <right/>
      <top style="thick">
        <color indexed="16"/>
      </top>
      <bottom/>
      <diagonal/>
    </border>
    <border>
      <left style="thick">
        <color indexed="16"/>
      </left>
      <right/>
      <top/>
      <bottom/>
      <diagonal/>
    </border>
    <border>
      <left style="thick">
        <color indexed="16"/>
      </left>
      <right/>
      <top/>
      <bottom style="thick">
        <color indexed="16"/>
      </bottom>
      <diagonal/>
    </border>
    <border>
      <left style="double">
        <color indexed="64"/>
      </left>
      <right/>
      <top/>
      <bottom style="double">
        <color indexed="64"/>
      </bottom>
      <diagonal/>
    </border>
    <border>
      <left/>
      <right/>
      <top style="double">
        <color indexed="64"/>
      </top>
      <bottom style="thin">
        <color indexed="64"/>
      </bottom>
      <diagonal/>
    </border>
    <border>
      <left style="hair">
        <color indexed="55"/>
      </left>
      <right style="hair">
        <color indexed="55"/>
      </right>
      <top style="thin">
        <color indexed="64"/>
      </top>
      <bottom style="hair">
        <color indexed="55"/>
      </bottom>
      <diagonal/>
    </border>
    <border>
      <left style="hair">
        <color indexed="55"/>
      </left>
      <right style="hair">
        <color indexed="55"/>
      </right>
      <top style="hair">
        <color indexed="55"/>
      </top>
      <bottom style="thin">
        <color indexed="64"/>
      </bottom>
      <diagonal/>
    </border>
    <border>
      <left style="hair">
        <color indexed="55"/>
      </left>
      <right style="double">
        <color indexed="64"/>
      </right>
      <top style="double">
        <color indexed="64"/>
      </top>
      <bottom style="thin">
        <color indexed="64"/>
      </bottom>
      <diagonal/>
    </border>
    <border>
      <left style="hair">
        <color indexed="55"/>
      </left>
      <right style="double">
        <color indexed="64"/>
      </right>
      <top style="thin">
        <color indexed="64"/>
      </top>
      <bottom style="hair">
        <color indexed="55"/>
      </bottom>
      <diagonal/>
    </border>
    <border>
      <left style="hair">
        <color indexed="55"/>
      </left>
      <right style="double">
        <color indexed="64"/>
      </right>
      <top style="hair">
        <color indexed="55"/>
      </top>
      <bottom style="thin">
        <color indexed="64"/>
      </bottom>
      <diagonal/>
    </border>
    <border>
      <left/>
      <right style="double">
        <color indexed="64"/>
      </right>
      <top style="hair">
        <color indexed="55"/>
      </top>
      <bottom style="hair">
        <color indexed="55"/>
      </bottom>
      <diagonal/>
    </border>
    <border>
      <left/>
      <right style="double">
        <color indexed="63"/>
      </right>
      <top style="hair">
        <color indexed="55"/>
      </top>
      <bottom style="double">
        <color indexed="63"/>
      </bottom>
      <diagonal/>
    </border>
    <border>
      <left/>
      <right style="thick">
        <color indexed="16"/>
      </right>
      <top style="thick">
        <color indexed="16"/>
      </top>
      <bottom/>
      <diagonal/>
    </border>
    <border>
      <left/>
      <right style="thick">
        <color indexed="16"/>
      </right>
      <top/>
      <bottom/>
      <diagonal/>
    </border>
    <border>
      <left/>
      <right style="thick">
        <color indexed="16"/>
      </right>
      <top/>
      <bottom style="thick">
        <color indexed="16"/>
      </bottom>
      <diagonal/>
    </border>
    <border>
      <left/>
      <right/>
      <top/>
      <bottom style="medium">
        <color indexed="64"/>
      </bottom>
      <diagonal/>
    </border>
    <border>
      <left style="thick">
        <color indexed="16"/>
      </left>
      <right style="thick">
        <color indexed="16"/>
      </right>
      <top style="thick">
        <color indexed="16"/>
      </top>
      <bottom style="thick">
        <color indexed="16"/>
      </bottom>
      <diagonal/>
    </border>
    <border>
      <left style="double">
        <color indexed="63"/>
      </left>
      <right style="hair">
        <color indexed="55"/>
      </right>
      <top/>
      <bottom style="thin">
        <color indexed="64"/>
      </bottom>
      <diagonal/>
    </border>
    <border>
      <left style="double">
        <color indexed="64"/>
      </left>
      <right style="hair">
        <color indexed="55"/>
      </right>
      <top style="thin">
        <color indexed="64"/>
      </top>
      <bottom/>
      <diagonal/>
    </border>
    <border>
      <left style="double">
        <color indexed="64"/>
      </left>
      <right/>
      <top style="double">
        <color indexed="64"/>
      </top>
      <bottom style="double">
        <color indexed="64"/>
      </bottom>
      <diagonal/>
    </border>
    <border>
      <left/>
      <right style="hair">
        <color indexed="22"/>
      </right>
      <top style="double">
        <color indexed="64"/>
      </top>
      <bottom style="double">
        <color indexed="64"/>
      </bottom>
      <diagonal/>
    </border>
    <border>
      <left style="hair">
        <color indexed="22"/>
      </left>
      <right style="double">
        <color indexed="64"/>
      </right>
      <top style="double">
        <color indexed="64"/>
      </top>
      <bottom style="double">
        <color indexed="64"/>
      </bottom>
      <diagonal/>
    </border>
    <border>
      <left style="double">
        <color indexed="16"/>
      </left>
      <right style="hair">
        <color indexed="16"/>
      </right>
      <top style="double">
        <color indexed="16"/>
      </top>
      <bottom style="hair">
        <color indexed="16"/>
      </bottom>
      <diagonal/>
    </border>
    <border>
      <left style="hair">
        <color indexed="16"/>
      </left>
      <right style="double">
        <color indexed="16"/>
      </right>
      <top style="double">
        <color indexed="16"/>
      </top>
      <bottom style="hair">
        <color indexed="16"/>
      </bottom>
      <diagonal/>
    </border>
    <border>
      <left style="double">
        <color indexed="16"/>
      </left>
      <right style="hair">
        <color indexed="16"/>
      </right>
      <top style="hair">
        <color indexed="16"/>
      </top>
      <bottom style="hair">
        <color indexed="16"/>
      </bottom>
      <diagonal/>
    </border>
    <border>
      <left style="hair">
        <color indexed="16"/>
      </left>
      <right style="double">
        <color indexed="16"/>
      </right>
      <top style="hair">
        <color indexed="16"/>
      </top>
      <bottom style="hair">
        <color indexed="16"/>
      </bottom>
      <diagonal/>
    </border>
    <border>
      <left/>
      <right style="double">
        <color indexed="64"/>
      </right>
      <top style="double">
        <color indexed="64"/>
      </top>
      <bottom style="thin">
        <color indexed="64"/>
      </bottom>
      <diagonal/>
    </border>
    <border>
      <left style="double">
        <color indexed="64"/>
      </left>
      <right/>
      <top/>
      <bottom style="hair">
        <color indexed="22"/>
      </bottom>
      <diagonal/>
    </border>
    <border>
      <left/>
      <right/>
      <top/>
      <bottom style="hair">
        <color indexed="22"/>
      </bottom>
      <diagonal/>
    </border>
    <border>
      <left/>
      <right style="double">
        <color indexed="64"/>
      </right>
      <top/>
      <bottom style="hair">
        <color indexed="22"/>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right style="double">
        <color indexed="64"/>
      </right>
      <top style="hair">
        <color indexed="22"/>
      </top>
      <bottom style="hair">
        <color indexed="22"/>
      </bottom>
      <diagonal/>
    </border>
    <border>
      <left style="double">
        <color indexed="16"/>
      </left>
      <right style="hair">
        <color indexed="16"/>
      </right>
      <top style="hair">
        <color indexed="16"/>
      </top>
      <bottom style="double">
        <color indexed="16"/>
      </bottom>
      <diagonal/>
    </border>
    <border>
      <left style="hair">
        <color indexed="16"/>
      </left>
      <right style="double">
        <color indexed="16"/>
      </right>
      <top style="hair">
        <color indexed="16"/>
      </top>
      <bottom style="double">
        <color indexed="16"/>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right style="double">
        <color indexed="64"/>
      </right>
      <top style="hair">
        <color indexed="22"/>
      </top>
      <bottom style="double">
        <color indexed="64"/>
      </bottom>
      <diagonal/>
    </border>
    <border>
      <left style="double">
        <color indexed="64"/>
      </left>
      <right style="hair">
        <color indexed="22"/>
      </right>
      <top style="double">
        <color indexed="64"/>
      </top>
      <bottom style="thin">
        <color indexed="64"/>
      </bottom>
      <diagonal/>
    </border>
    <border>
      <left style="hair">
        <color indexed="22"/>
      </left>
      <right/>
      <top style="double">
        <color indexed="64"/>
      </top>
      <bottom style="thin">
        <color indexed="64"/>
      </bottom>
      <diagonal/>
    </border>
    <border>
      <left style="double">
        <color indexed="64"/>
      </left>
      <right/>
      <top style="thin">
        <color indexed="64"/>
      </top>
      <bottom style="double">
        <color indexed="64"/>
      </bottom>
      <diagonal/>
    </border>
    <border>
      <left/>
      <right style="hair">
        <color indexed="22"/>
      </right>
      <top style="thin">
        <color indexed="64"/>
      </top>
      <bottom style="double">
        <color indexed="64"/>
      </bottom>
      <diagonal/>
    </border>
    <border>
      <left style="hair">
        <color indexed="22"/>
      </left>
      <right style="double">
        <color indexed="64"/>
      </right>
      <top style="thin">
        <color indexed="64"/>
      </top>
      <bottom style="double">
        <color indexed="64"/>
      </bottom>
      <diagonal/>
    </border>
    <border>
      <left style="dotted">
        <color indexed="64"/>
      </left>
      <right/>
      <top style="double">
        <color indexed="64"/>
      </top>
      <bottom style="thin">
        <color indexed="64"/>
      </bottom>
      <diagonal/>
    </border>
    <border>
      <left style="hair">
        <color indexed="55"/>
      </left>
      <right/>
      <top style="thin">
        <color indexed="64"/>
      </top>
      <bottom style="hair">
        <color indexed="55"/>
      </bottom>
      <diagonal/>
    </border>
    <border>
      <left style="hair">
        <color indexed="55"/>
      </left>
      <right/>
      <top style="hair">
        <color indexed="55"/>
      </top>
      <bottom style="thin">
        <color indexed="64"/>
      </bottom>
      <diagonal/>
    </border>
    <border>
      <left style="hair">
        <color indexed="55"/>
      </left>
      <right/>
      <top style="hair">
        <color indexed="55"/>
      </top>
      <bottom style="hair">
        <color indexed="55"/>
      </bottom>
      <diagonal/>
    </border>
    <border>
      <left style="hair">
        <color indexed="55"/>
      </left>
      <right style="double">
        <color indexed="64"/>
      </right>
      <top style="hair">
        <color indexed="55"/>
      </top>
      <bottom style="hair">
        <color indexed="55"/>
      </bottom>
      <diagonal/>
    </border>
    <border>
      <left style="double">
        <color indexed="64"/>
      </left>
      <right style="hair">
        <color indexed="55"/>
      </right>
      <top/>
      <bottom/>
      <diagonal/>
    </border>
    <border>
      <left style="hair">
        <color indexed="55"/>
      </left>
      <right/>
      <top style="thin">
        <color indexed="64"/>
      </top>
      <bottom/>
      <diagonal/>
    </border>
    <border>
      <left style="hair">
        <color indexed="55"/>
      </left>
      <right style="double">
        <color indexed="64"/>
      </right>
      <top style="thin">
        <color indexed="64"/>
      </top>
      <bottom/>
      <diagonal/>
    </border>
    <border>
      <left style="hair">
        <color indexed="55"/>
      </left>
      <right style="double">
        <color indexed="63"/>
      </right>
      <top style="hair">
        <color indexed="55"/>
      </top>
      <bottom style="thin">
        <color indexed="64"/>
      </bottom>
      <diagonal/>
    </border>
    <border>
      <left style="hair">
        <color indexed="55"/>
      </left>
      <right/>
      <top/>
      <bottom style="hair">
        <color indexed="55"/>
      </bottom>
      <diagonal/>
    </border>
    <border>
      <left style="hair">
        <color indexed="55"/>
      </left>
      <right style="double">
        <color indexed="64"/>
      </right>
      <top/>
      <bottom style="hair">
        <color indexed="55"/>
      </bottom>
      <diagonal/>
    </border>
    <border>
      <left style="hair">
        <color indexed="55"/>
      </left>
      <right/>
      <top style="hair">
        <color indexed="55"/>
      </top>
      <bottom style="double">
        <color indexed="64"/>
      </bottom>
      <diagonal/>
    </border>
    <border>
      <left style="hair">
        <color indexed="55"/>
      </left>
      <right style="double">
        <color indexed="64"/>
      </right>
      <top style="hair">
        <color indexed="55"/>
      </top>
      <bottom style="double">
        <color indexed="64"/>
      </bottom>
      <diagonal/>
    </border>
    <border>
      <left style="double">
        <color indexed="64"/>
      </left>
      <right style="hair">
        <color indexed="55"/>
      </right>
      <top/>
      <bottom style="thin">
        <color indexed="64"/>
      </bottom>
      <diagonal/>
    </border>
    <border>
      <left/>
      <right style="double">
        <color indexed="64"/>
      </right>
      <top/>
      <bottom style="hair">
        <color indexed="55"/>
      </bottom>
      <diagonal/>
    </border>
    <border>
      <left style="hair">
        <color indexed="55"/>
      </left>
      <right style="double">
        <color indexed="64"/>
      </right>
      <top style="hair">
        <color indexed="55"/>
      </top>
      <bottom/>
      <diagonal/>
    </border>
    <border>
      <left/>
      <right style="double">
        <color indexed="64"/>
      </right>
      <top style="thin">
        <color indexed="64"/>
      </top>
      <bottom style="hair">
        <color indexed="55"/>
      </bottom>
      <diagonal/>
    </border>
  </borders>
  <cellStyleXfs count="1">
    <xf numFmtId="0" fontId="0" fillId="0" borderId="0"/>
  </cellStyleXfs>
  <cellXfs count="184">
    <xf numFmtId="0" fontId="0" fillId="0" borderId="0" xfId="0"/>
    <xf numFmtId="0" fontId="2" fillId="0" borderId="0" xfId="0" applyFont="1" applyProtection="1">
      <protection hidden="1"/>
    </xf>
    <xf numFmtId="0" fontId="1" fillId="0" borderId="0" xfId="0" applyFont="1" applyProtection="1">
      <protection hidden="1"/>
    </xf>
    <xf numFmtId="0" fontId="1" fillId="0" borderId="0" xfId="0" applyFont="1" applyAlignment="1" applyProtection="1">
      <alignment horizontal="right"/>
      <protection hidden="1"/>
    </xf>
    <xf numFmtId="0" fontId="0" fillId="0" borderId="0" xfId="0" applyProtection="1">
      <protection hidden="1"/>
    </xf>
    <xf numFmtId="0" fontId="1" fillId="0" borderId="1" xfId="0" applyFont="1" applyBorder="1" applyProtection="1">
      <protection hidden="1"/>
    </xf>
    <xf numFmtId="0" fontId="1" fillId="0" borderId="1" xfId="0" applyFont="1" applyBorder="1" applyAlignment="1" applyProtection="1">
      <alignment horizontal="center"/>
      <protection hidden="1"/>
    </xf>
    <xf numFmtId="166" fontId="0" fillId="0" borderId="0" xfId="0" applyNumberFormat="1" applyAlignment="1" applyProtection="1">
      <alignment horizontal="center"/>
      <protection hidden="1"/>
    </xf>
    <xf numFmtId="165"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0" borderId="1" xfId="0" applyBorder="1" applyProtection="1">
      <protection hidden="1"/>
    </xf>
    <xf numFmtId="166" fontId="0" fillId="0" borderId="1" xfId="0" applyNumberFormat="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1" xfId="0" applyBorder="1" applyAlignment="1" applyProtection="1">
      <alignment horizontal="center"/>
      <protection hidden="1"/>
    </xf>
    <xf numFmtId="165" fontId="1" fillId="0" borderId="0" xfId="0" applyNumberFormat="1" applyFont="1" applyAlignment="1" applyProtection="1">
      <alignment horizontal="center"/>
      <protection hidden="1"/>
    </xf>
    <xf numFmtId="0" fontId="4" fillId="0" borderId="0" xfId="0" applyFont="1" applyFill="1" applyBorder="1" applyProtection="1">
      <protection hidden="1"/>
    </xf>
    <xf numFmtId="0" fontId="4" fillId="0" borderId="0" xfId="0" applyFont="1" applyProtection="1">
      <protection hidden="1"/>
    </xf>
    <xf numFmtId="0" fontId="4" fillId="0" borderId="2" xfId="0" applyFont="1" applyBorder="1" applyProtection="1">
      <protection hidden="1"/>
    </xf>
    <xf numFmtId="0" fontId="8" fillId="0" borderId="3" xfId="0" applyFont="1" applyBorder="1" applyProtection="1">
      <protection hidden="1"/>
    </xf>
    <xf numFmtId="0" fontId="8" fillId="0" borderId="4" xfId="0" applyFont="1" applyBorder="1" applyProtection="1">
      <protection hidden="1"/>
    </xf>
    <xf numFmtId="0" fontId="4" fillId="0" borderId="3" xfId="0" applyFont="1" applyBorder="1" applyProtection="1">
      <protection hidden="1"/>
    </xf>
    <xf numFmtId="0" fontId="4" fillId="0" borderId="5" xfId="0" applyFont="1" applyBorder="1" applyAlignment="1" applyProtection="1">
      <alignment horizontal="right"/>
      <protection hidden="1"/>
    </xf>
    <xf numFmtId="0" fontId="4" fillId="0" borderId="6" xfId="0" applyFont="1" applyBorder="1" applyAlignment="1" applyProtection="1">
      <alignment horizontal="right"/>
      <protection hidden="1"/>
    </xf>
    <xf numFmtId="0" fontId="4" fillId="0" borderId="7" xfId="0" applyFont="1" applyBorder="1" applyAlignment="1" applyProtection="1">
      <alignment horizontal="right"/>
      <protection hidden="1"/>
    </xf>
    <xf numFmtId="0" fontId="4" fillId="0" borderId="4" xfId="0" applyFont="1" applyBorder="1" applyProtection="1">
      <protection hidden="1"/>
    </xf>
    <xf numFmtId="0" fontId="4" fillId="0" borderId="0" xfId="0" applyFont="1" applyAlignment="1" applyProtection="1">
      <alignment horizontal="right"/>
      <protection hidden="1"/>
    </xf>
    <xf numFmtId="0" fontId="4" fillId="0" borderId="8" xfId="0" applyFont="1" applyBorder="1" applyProtection="1">
      <protection hidden="1"/>
    </xf>
    <xf numFmtId="0" fontId="8" fillId="0" borderId="0" xfId="0" applyFont="1" applyAlignment="1" applyProtection="1">
      <alignment shrinkToFit="1"/>
      <protection hidden="1"/>
    </xf>
    <xf numFmtId="0" fontId="8" fillId="0" borderId="0" xfId="0" applyFont="1" applyAlignment="1" applyProtection="1">
      <alignment horizontal="left" indent="1"/>
      <protection hidden="1"/>
    </xf>
    <xf numFmtId="0" fontId="4" fillId="0" borderId="9" xfId="0" applyFont="1" applyBorder="1" applyAlignment="1" applyProtection="1">
      <alignment shrinkToFit="1"/>
      <protection hidden="1"/>
    </xf>
    <xf numFmtId="0" fontId="4" fillId="0" borderId="10" xfId="0" applyFont="1" applyBorder="1" applyAlignment="1" applyProtection="1">
      <alignment horizontal="right" shrinkToFit="1"/>
      <protection hidden="1"/>
    </xf>
    <xf numFmtId="0" fontId="4" fillId="0" borderId="11" xfId="0" applyFont="1" applyBorder="1" applyAlignment="1" applyProtection="1">
      <alignment horizontal="right" shrinkToFit="1"/>
      <protection hidden="1"/>
    </xf>
    <xf numFmtId="0" fontId="9" fillId="0" borderId="0" xfId="0" applyFont="1" applyBorder="1" applyProtection="1">
      <protection hidden="1"/>
    </xf>
    <xf numFmtId="0" fontId="9" fillId="0" borderId="0" xfId="0" applyFont="1" applyFill="1" applyBorder="1" applyProtection="1">
      <protection hidden="1"/>
    </xf>
    <xf numFmtId="0" fontId="4" fillId="0" borderId="12" xfId="0" applyFont="1" applyBorder="1" applyAlignment="1" applyProtection="1">
      <alignment horizontal="left" indent="1"/>
      <protection hidden="1"/>
    </xf>
    <xf numFmtId="0" fontId="8" fillId="2" borderId="13" xfId="0" applyFont="1" applyFill="1" applyBorder="1" applyAlignment="1" applyProtection="1">
      <alignment horizontal="left" indent="1"/>
      <protection locked="0" hidden="1"/>
    </xf>
    <xf numFmtId="0" fontId="8" fillId="2" borderId="14" xfId="0" applyFont="1" applyFill="1" applyBorder="1" applyAlignment="1" applyProtection="1">
      <alignment horizontal="left" indent="1"/>
      <protection locked="0" hidden="1"/>
    </xf>
    <xf numFmtId="0" fontId="8" fillId="2" borderId="15" xfId="0" applyFont="1" applyFill="1" applyBorder="1" applyAlignment="1" applyProtection="1">
      <alignment horizontal="left" indent="1"/>
      <protection locked="0" hidden="1"/>
    </xf>
    <xf numFmtId="0" fontId="8" fillId="2" borderId="16" xfId="0" applyFont="1" applyFill="1" applyBorder="1" applyAlignment="1" applyProtection="1">
      <alignment horizontal="left" indent="1"/>
      <protection locked="0" hidden="1"/>
    </xf>
    <xf numFmtId="169" fontId="9" fillId="0" borderId="17" xfId="0" applyNumberFormat="1" applyFont="1" applyBorder="1" applyAlignment="1" applyProtection="1">
      <alignment horizontal="left"/>
      <protection hidden="1"/>
    </xf>
    <xf numFmtId="169" fontId="9" fillId="0" borderId="18" xfId="0" applyNumberFormat="1" applyFont="1" applyBorder="1" applyAlignment="1" applyProtection="1">
      <alignment horizontal="left"/>
      <protection hidden="1"/>
    </xf>
    <xf numFmtId="169" fontId="9" fillId="0" borderId="19" xfId="0" applyNumberFormat="1" applyFont="1" applyBorder="1" applyAlignment="1" applyProtection="1">
      <alignment horizontal="left"/>
      <protection hidden="1"/>
    </xf>
    <xf numFmtId="169" fontId="0" fillId="0" borderId="0" xfId="0" applyNumberFormat="1" applyAlignment="1" applyProtection="1">
      <alignment horizontal="center"/>
      <protection hidden="1"/>
    </xf>
    <xf numFmtId="169" fontId="0" fillId="0" borderId="1" xfId="0" applyNumberFormat="1" applyBorder="1" applyAlignment="1" applyProtection="1">
      <alignment horizontal="center"/>
      <protection hidden="1"/>
    </xf>
    <xf numFmtId="0" fontId="11" fillId="0" borderId="0" xfId="0" applyFont="1" applyFill="1" applyBorder="1" applyAlignment="1" applyProtection="1">
      <alignment vertical="top"/>
      <protection hidden="1"/>
    </xf>
    <xf numFmtId="0" fontId="11" fillId="0" borderId="20" xfId="0" applyFont="1" applyBorder="1" applyAlignment="1" applyProtection="1">
      <alignment vertical="top"/>
      <protection hidden="1"/>
    </xf>
    <xf numFmtId="0" fontId="12" fillId="0" borderId="0" xfId="0" applyFont="1" applyAlignment="1" applyProtection="1">
      <alignment vertical="top" wrapText="1"/>
      <protection hidden="1"/>
    </xf>
    <xf numFmtId="0" fontId="11" fillId="3" borderId="0" xfId="0" applyFont="1" applyFill="1" applyAlignment="1" applyProtection="1">
      <alignment vertical="top"/>
      <protection hidden="1"/>
    </xf>
    <xf numFmtId="0" fontId="11" fillId="0" borderId="0" xfId="0" applyFont="1" applyAlignment="1" applyProtection="1">
      <alignment horizontal="left" vertical="top" wrapText="1" indent="3"/>
      <protection hidden="1"/>
    </xf>
    <xf numFmtId="0" fontId="11" fillId="0" borderId="0" xfId="0" applyFont="1" applyAlignment="1" applyProtection="1">
      <alignment horizontal="left" vertical="top" wrapText="1"/>
      <protection hidden="1"/>
    </xf>
    <xf numFmtId="0" fontId="11" fillId="2" borderId="0" xfId="0" applyFont="1" applyFill="1" applyAlignment="1" applyProtection="1">
      <alignment vertical="top"/>
      <protection hidden="1"/>
    </xf>
    <xf numFmtId="0" fontId="12" fillId="0" borderId="0" xfId="0" applyFont="1" applyAlignment="1" applyProtection="1">
      <alignment vertical="top"/>
      <protection hidden="1"/>
    </xf>
    <xf numFmtId="0" fontId="11" fillId="0" borderId="21" xfId="0" applyFont="1" applyBorder="1" applyAlignment="1" applyProtection="1">
      <alignment vertical="top"/>
      <protection hidden="1"/>
    </xf>
    <xf numFmtId="0" fontId="11" fillId="0" borderId="0" xfId="0" applyFont="1" applyAlignment="1" applyProtection="1">
      <alignment horizontal="left" vertical="top" wrapText="1" indent="5"/>
      <protection hidden="1"/>
    </xf>
    <xf numFmtId="0" fontId="13" fillId="0" borderId="0" xfId="0" applyFont="1" applyAlignment="1" applyProtection="1">
      <alignment horizontal="left" vertical="top" wrapText="1" indent="7"/>
      <protection hidden="1"/>
    </xf>
    <xf numFmtId="0" fontId="12" fillId="0" borderId="0" xfId="0" applyFont="1" applyAlignment="1" applyProtection="1">
      <alignment horizontal="left" vertical="top" wrapText="1" indent="3"/>
      <protection hidden="1"/>
    </xf>
    <xf numFmtId="0" fontId="8" fillId="0" borderId="22" xfId="0" applyFont="1" applyBorder="1" applyProtection="1">
      <protection hidden="1"/>
    </xf>
    <xf numFmtId="0" fontId="4" fillId="0" borderId="23" xfId="0" applyFont="1" applyBorder="1" applyProtection="1">
      <protection hidden="1"/>
    </xf>
    <xf numFmtId="0" fontId="15" fillId="0" borderId="0" xfId="0" applyFont="1" applyFill="1" applyBorder="1" applyProtection="1">
      <protection hidden="1"/>
    </xf>
    <xf numFmtId="0" fontId="14" fillId="0" borderId="0" xfId="0" applyFont="1" applyFill="1" applyBorder="1" applyProtection="1">
      <protection hidden="1"/>
    </xf>
    <xf numFmtId="0" fontId="16" fillId="0" borderId="0" xfId="0" applyFont="1" applyFill="1" applyBorder="1" applyProtection="1">
      <protection hidden="1"/>
    </xf>
    <xf numFmtId="164" fontId="14" fillId="0" borderId="0" xfId="0" applyNumberFormat="1" applyFont="1" applyFill="1" applyBorder="1" applyProtection="1">
      <protection hidden="1"/>
    </xf>
    <xf numFmtId="0" fontId="14" fillId="0" borderId="0" xfId="0" applyFont="1" applyProtection="1">
      <protection hidden="1"/>
    </xf>
    <xf numFmtId="0" fontId="15" fillId="0" borderId="0" xfId="0" applyFont="1" applyBorder="1" applyProtection="1">
      <protection hidden="1"/>
    </xf>
    <xf numFmtId="0" fontId="18" fillId="0" borderId="0" xfId="0" applyFont="1" applyFill="1" applyBorder="1" applyAlignment="1" applyProtection="1">
      <protection hidden="1"/>
    </xf>
    <xf numFmtId="0" fontId="18" fillId="0" borderId="0" xfId="0" applyFont="1" applyBorder="1" applyProtection="1">
      <protection hidden="1"/>
    </xf>
    <xf numFmtId="0" fontId="18" fillId="0" borderId="0" xfId="0" applyFont="1" applyFill="1" applyBorder="1" applyProtection="1">
      <protection hidden="1"/>
    </xf>
    <xf numFmtId="168" fontId="19" fillId="0" borderId="0" xfId="0" applyNumberFormat="1" applyFont="1" applyFill="1" applyAlignment="1" applyProtection="1">
      <alignment horizontal="left"/>
      <protection hidden="1"/>
    </xf>
    <xf numFmtId="0" fontId="15" fillId="0" borderId="24" xfId="0" applyFont="1" applyBorder="1" applyProtection="1">
      <protection hidden="1"/>
    </xf>
    <xf numFmtId="0" fontId="18" fillId="0" borderId="25" xfId="0" applyFont="1" applyBorder="1" applyAlignment="1" applyProtection="1">
      <alignment horizontal="right" vertical="top"/>
      <protection hidden="1"/>
    </xf>
    <xf numFmtId="0" fontId="17" fillId="4" borderId="26" xfId="0" applyFont="1" applyFill="1" applyBorder="1" applyAlignment="1" applyProtection="1">
      <alignment wrapText="1"/>
      <protection locked="0" hidden="1"/>
    </xf>
    <xf numFmtId="0" fontId="18" fillId="0" borderId="0" xfId="0" applyFont="1" applyProtection="1">
      <protection hidden="1"/>
    </xf>
    <xf numFmtId="0" fontId="18" fillId="0" borderId="27" xfId="0" applyFont="1" applyFill="1" applyBorder="1" applyAlignment="1" applyProtection="1">
      <alignment horizontal="right"/>
      <protection hidden="1"/>
    </xf>
    <xf numFmtId="165" fontId="20" fillId="0" borderId="28" xfId="0" applyNumberFormat="1" applyFont="1" applyBorder="1" applyAlignment="1" applyProtection="1">
      <alignment horizontal="left"/>
      <protection hidden="1"/>
    </xf>
    <xf numFmtId="0" fontId="18" fillId="0" borderId="29" xfId="0" applyFont="1" applyFill="1" applyBorder="1" applyAlignment="1" applyProtection="1">
      <alignment horizontal="right"/>
      <protection hidden="1"/>
    </xf>
    <xf numFmtId="165" fontId="20" fillId="0" borderId="30" xfId="0" applyNumberFormat="1" applyFont="1" applyBorder="1" applyAlignment="1" applyProtection="1">
      <alignment horizontal="left"/>
      <protection hidden="1"/>
    </xf>
    <xf numFmtId="0" fontId="18" fillId="0" borderId="2" xfId="0" applyFont="1" applyBorder="1" applyProtection="1">
      <protection hidden="1"/>
    </xf>
    <xf numFmtId="0" fontId="18" fillId="0" borderId="9" xfId="0" applyFont="1" applyBorder="1" applyAlignment="1" applyProtection="1">
      <alignment horizontal="right"/>
      <protection hidden="1"/>
    </xf>
    <xf numFmtId="0" fontId="17" fillId="0" borderId="31" xfId="0" applyFont="1" applyBorder="1" applyProtection="1">
      <protection hidden="1"/>
    </xf>
    <xf numFmtId="0" fontId="18" fillId="0" borderId="29" xfId="0" applyFont="1" applyBorder="1" applyAlignment="1" applyProtection="1">
      <alignment horizontal="right"/>
      <protection hidden="1"/>
    </xf>
    <xf numFmtId="0" fontId="15" fillId="0" borderId="32" xfId="0" applyFont="1" applyBorder="1" applyProtection="1">
      <protection hidden="1"/>
    </xf>
    <xf numFmtId="0" fontId="18" fillId="0" borderId="33" xfId="0" applyFont="1" applyBorder="1" applyAlignment="1" applyProtection="1">
      <alignment horizontal="right"/>
      <protection hidden="1"/>
    </xf>
    <xf numFmtId="0" fontId="18" fillId="3" borderId="34" xfId="0" applyFont="1" applyFill="1" applyBorder="1" applyAlignment="1" applyProtection="1">
      <alignment horizontal="left" indent="1"/>
      <protection locked="0" hidden="1"/>
    </xf>
    <xf numFmtId="167" fontId="20" fillId="0" borderId="30" xfId="0" applyNumberFormat="1" applyFont="1" applyBorder="1" applyAlignment="1" applyProtection="1">
      <alignment horizontal="left"/>
      <protection hidden="1"/>
    </xf>
    <xf numFmtId="0" fontId="15" fillId="0" borderId="35" xfId="0" applyFont="1" applyBorder="1" applyProtection="1">
      <protection hidden="1"/>
    </xf>
    <xf numFmtId="0" fontId="18" fillId="0" borderId="36" xfId="0" applyFont="1" applyBorder="1" applyAlignment="1" applyProtection="1">
      <alignment horizontal="right"/>
      <protection hidden="1"/>
    </xf>
    <xf numFmtId="0" fontId="18" fillId="5" borderId="37" xfId="0" applyFont="1" applyFill="1" applyBorder="1" applyAlignment="1" applyProtection="1">
      <alignment horizontal="left" indent="1"/>
      <protection locked="0" hidden="1"/>
    </xf>
    <xf numFmtId="0" fontId="18" fillId="0" borderId="38" xfId="0" applyFont="1" applyBorder="1" applyAlignment="1" applyProtection="1">
      <alignment horizontal="right"/>
      <protection hidden="1"/>
    </xf>
    <xf numFmtId="0" fontId="20" fillId="0" borderId="39" xfId="0" applyFont="1" applyBorder="1" applyAlignment="1" applyProtection="1">
      <alignment horizontal="left"/>
      <protection hidden="1"/>
    </xf>
    <xf numFmtId="0" fontId="15" fillId="0" borderId="40" xfId="0" applyFont="1" applyBorder="1" applyProtection="1">
      <protection hidden="1"/>
    </xf>
    <xf numFmtId="0" fontId="18" fillId="0" borderId="41" xfId="0" applyFont="1" applyBorder="1" applyAlignment="1" applyProtection="1">
      <alignment horizontal="right"/>
      <protection hidden="1"/>
    </xf>
    <xf numFmtId="165" fontId="18" fillId="3" borderId="42" xfId="0" applyNumberFormat="1" applyFont="1" applyFill="1" applyBorder="1" applyAlignment="1" applyProtection="1">
      <alignment horizontal="left" indent="1"/>
      <protection locked="0" hidden="1"/>
    </xf>
    <xf numFmtId="0" fontId="15" fillId="0" borderId="0" xfId="0" applyFont="1" applyProtection="1">
      <protection hidden="1"/>
    </xf>
    <xf numFmtId="0" fontId="20" fillId="0" borderId="0" xfId="0" applyFont="1" applyProtection="1">
      <protection hidden="1"/>
    </xf>
    <xf numFmtId="0" fontId="15" fillId="0" borderId="0" xfId="0" applyFont="1" applyAlignment="1" applyProtection="1">
      <alignment horizontal="right"/>
      <protection hidden="1"/>
    </xf>
    <xf numFmtId="0" fontId="17" fillId="0" borderId="0" xfId="0" applyFont="1" applyAlignment="1" applyProtection="1">
      <alignment horizontal="left" indent="1"/>
      <protection hidden="1"/>
    </xf>
    <xf numFmtId="0" fontId="18" fillId="0" borderId="27" xfId="0" applyFont="1" applyBorder="1" applyAlignment="1" applyProtection="1">
      <alignment horizontal="right" wrapText="1"/>
      <protection hidden="1"/>
    </xf>
    <xf numFmtId="166" fontId="20" fillId="0" borderId="28" xfId="0" applyNumberFormat="1" applyFont="1" applyFill="1" applyBorder="1" applyAlignment="1" applyProtection="1">
      <alignment horizontal="left"/>
      <protection hidden="1"/>
    </xf>
    <xf numFmtId="0" fontId="15" fillId="0" borderId="0" xfId="0" applyFont="1" applyAlignment="1" applyProtection="1">
      <alignment horizontal="left" indent="1"/>
      <protection hidden="1"/>
    </xf>
    <xf numFmtId="0" fontId="18" fillId="0" borderId="38" xfId="0" applyFont="1" applyBorder="1" applyAlignment="1" applyProtection="1">
      <alignment horizontal="right" wrapText="1"/>
      <protection hidden="1"/>
    </xf>
    <xf numFmtId="166" fontId="20" fillId="0" borderId="39" xfId="0" applyNumberFormat="1" applyFont="1" applyBorder="1" applyAlignment="1" applyProtection="1">
      <alignment horizontal="left"/>
      <protection hidden="1"/>
    </xf>
    <xf numFmtId="0" fontId="18" fillId="0" borderId="43" xfId="0" applyFont="1" applyBorder="1" applyProtection="1">
      <protection hidden="1"/>
    </xf>
    <xf numFmtId="0" fontId="18" fillId="0" borderId="44" xfId="0" applyFont="1" applyBorder="1" applyProtection="1">
      <protection hidden="1"/>
    </xf>
    <xf numFmtId="0" fontId="18" fillId="0" borderId="31" xfId="0" applyFont="1" applyBorder="1" applyAlignment="1" applyProtection="1">
      <alignment horizontal="left" indent="1"/>
      <protection hidden="1"/>
    </xf>
    <xf numFmtId="0" fontId="15" fillId="0" borderId="45" xfId="0" applyFont="1" applyBorder="1" applyProtection="1">
      <protection hidden="1"/>
    </xf>
    <xf numFmtId="0" fontId="18" fillId="0" borderId="46" xfId="0" applyFont="1" applyFill="1" applyBorder="1" applyAlignment="1" applyProtection="1">
      <alignment horizontal="right"/>
      <protection hidden="1"/>
    </xf>
    <xf numFmtId="0" fontId="18" fillId="2" borderId="47" xfId="0" applyFont="1" applyFill="1" applyBorder="1" applyAlignment="1" applyProtection="1">
      <alignment horizontal="left" indent="1"/>
      <protection locked="0" hidden="1"/>
    </xf>
    <xf numFmtId="0" fontId="18" fillId="0" borderId="48" xfId="0" applyFont="1" applyBorder="1" applyProtection="1">
      <protection hidden="1"/>
    </xf>
    <xf numFmtId="0" fontId="18" fillId="0" borderId="12" xfId="0" applyFont="1" applyBorder="1" applyAlignment="1" applyProtection="1">
      <alignment horizontal="left" indent="1"/>
      <protection hidden="1"/>
    </xf>
    <xf numFmtId="0" fontId="15" fillId="0" borderId="3" xfId="0" applyFont="1" applyBorder="1" applyProtection="1">
      <protection hidden="1"/>
    </xf>
    <xf numFmtId="0" fontId="18" fillId="0" borderId="49" xfId="0" applyFont="1" applyBorder="1" applyAlignment="1" applyProtection="1">
      <alignment horizontal="right" shrinkToFit="1"/>
      <protection hidden="1"/>
    </xf>
    <xf numFmtId="0" fontId="15" fillId="2" borderId="13" xfId="0" applyFont="1" applyFill="1" applyBorder="1" applyAlignment="1" applyProtection="1">
      <alignment horizontal="left" indent="1"/>
      <protection locked="0" hidden="1"/>
    </xf>
    <xf numFmtId="0" fontId="15" fillId="0" borderId="4" xfId="0" applyFont="1" applyBorder="1" applyProtection="1">
      <protection hidden="1"/>
    </xf>
    <xf numFmtId="0" fontId="18" fillId="0" borderId="50" xfId="0" applyFont="1" applyBorder="1" applyAlignment="1" applyProtection="1">
      <alignment horizontal="right" shrinkToFit="1"/>
      <protection hidden="1"/>
    </xf>
    <xf numFmtId="0" fontId="15" fillId="2" borderId="14" xfId="0" applyFont="1" applyFill="1" applyBorder="1" applyAlignment="1" applyProtection="1">
      <alignment horizontal="left" indent="1"/>
      <protection locked="0" hidden="1"/>
    </xf>
    <xf numFmtId="0" fontId="18" fillId="0" borderId="3" xfId="0" applyFont="1" applyBorder="1" applyProtection="1">
      <protection hidden="1"/>
    </xf>
    <xf numFmtId="0" fontId="15" fillId="6" borderId="13" xfId="0" applyFont="1" applyFill="1" applyBorder="1" applyAlignment="1" applyProtection="1">
      <alignment horizontal="left" indent="1"/>
      <protection locked="0" hidden="1"/>
    </xf>
    <xf numFmtId="0" fontId="18" fillId="0" borderId="5" xfId="0" applyFont="1" applyBorder="1" applyAlignment="1" applyProtection="1">
      <alignment horizontal="right"/>
      <protection hidden="1"/>
    </xf>
    <xf numFmtId="169" fontId="20" fillId="0" borderId="17" xfId="0" applyNumberFormat="1" applyFont="1" applyBorder="1" applyAlignment="1" applyProtection="1">
      <alignment horizontal="left"/>
      <protection hidden="1"/>
    </xf>
    <xf numFmtId="0" fontId="18" fillId="0" borderId="51" xfId="0" applyFont="1" applyBorder="1" applyAlignment="1" applyProtection="1">
      <alignment horizontal="right" shrinkToFit="1"/>
      <protection hidden="1"/>
    </xf>
    <xf numFmtId="0" fontId="15" fillId="6" borderId="52" xfId="0" applyFont="1" applyFill="1" applyBorder="1" applyAlignment="1" applyProtection="1">
      <alignment horizontal="left" indent="1"/>
      <protection locked="0" hidden="1"/>
    </xf>
    <xf numFmtId="0" fontId="18" fillId="0" borderId="6" xfId="0" applyFont="1" applyBorder="1" applyAlignment="1" applyProtection="1">
      <alignment horizontal="right"/>
      <protection hidden="1"/>
    </xf>
    <xf numFmtId="169" fontId="20" fillId="0" borderId="18" xfId="0" applyNumberFormat="1" applyFont="1" applyBorder="1" applyAlignment="1" applyProtection="1">
      <alignment horizontal="left"/>
      <protection hidden="1"/>
    </xf>
    <xf numFmtId="0" fontId="18" fillId="0" borderId="53" xfId="0" applyFont="1" applyBorder="1" applyProtection="1">
      <protection hidden="1"/>
    </xf>
    <xf numFmtId="0" fontId="18" fillId="0" borderId="7" xfId="0" applyFont="1" applyBorder="1" applyAlignment="1" applyProtection="1">
      <alignment horizontal="right"/>
      <protection hidden="1"/>
    </xf>
    <xf numFmtId="169" fontId="20" fillId="0" borderId="19" xfId="0" applyNumberFormat="1" applyFont="1" applyBorder="1" applyAlignment="1" applyProtection="1">
      <alignment horizontal="left"/>
      <protection hidden="1"/>
    </xf>
    <xf numFmtId="0" fontId="18" fillId="0" borderId="4" xfId="0" applyFont="1" applyBorder="1" applyProtection="1">
      <protection hidden="1"/>
    </xf>
    <xf numFmtId="0" fontId="18" fillId="0" borderId="23" xfId="0" applyFont="1" applyBorder="1" applyProtection="1">
      <protection hidden="1"/>
    </xf>
    <xf numFmtId="0" fontId="18" fillId="0" borderId="54" xfId="0" applyFont="1" applyBorder="1" applyAlignment="1" applyProtection="1">
      <alignment horizontal="right" shrinkToFit="1"/>
      <protection hidden="1"/>
    </xf>
    <xf numFmtId="0" fontId="15" fillId="6" borderId="55" xfId="0" applyFont="1" applyFill="1" applyBorder="1" applyAlignment="1" applyProtection="1">
      <alignment horizontal="left" indent="1"/>
      <protection locked="0" hidden="1"/>
    </xf>
    <xf numFmtId="0" fontId="15" fillId="0" borderId="22" xfId="0" applyFont="1" applyBorder="1" applyProtection="1">
      <protection hidden="1"/>
    </xf>
    <xf numFmtId="0" fontId="18" fillId="0" borderId="11" xfId="0" applyFont="1" applyBorder="1" applyAlignment="1" applyProtection="1">
      <alignment horizontal="right" shrinkToFit="1"/>
      <protection hidden="1"/>
    </xf>
    <xf numFmtId="0" fontId="15" fillId="6" borderId="56" xfId="0" applyFont="1" applyFill="1" applyBorder="1" applyAlignment="1" applyProtection="1">
      <alignment horizontal="left" indent="1"/>
      <protection locked="0" hidden="1"/>
    </xf>
    <xf numFmtId="0" fontId="18" fillId="0" borderId="57" xfId="0" applyFont="1" applyBorder="1" applyAlignment="1" applyProtection="1">
      <alignment horizontal="right" shrinkToFit="1"/>
      <protection hidden="1"/>
    </xf>
    <xf numFmtId="0" fontId="15" fillId="2" borderId="58" xfId="0" applyFont="1" applyFill="1" applyBorder="1" applyAlignment="1" applyProtection="1">
      <alignment horizontal="left" indent="1"/>
      <protection locked="0" hidden="1"/>
    </xf>
    <xf numFmtId="0" fontId="15" fillId="2" borderId="52" xfId="0" applyFont="1" applyFill="1" applyBorder="1" applyAlignment="1" applyProtection="1">
      <alignment horizontal="left" indent="1"/>
      <protection locked="0" hidden="1"/>
    </xf>
    <xf numFmtId="164" fontId="14" fillId="0" borderId="0" xfId="0" applyNumberFormat="1" applyFont="1" applyProtection="1">
      <protection hidden="1"/>
    </xf>
    <xf numFmtId="0" fontId="18" fillId="0" borderId="0" xfId="0" applyFont="1" applyAlignment="1" applyProtection="1">
      <alignment horizontal="right"/>
      <protection hidden="1"/>
    </xf>
    <xf numFmtId="0" fontId="18" fillId="0" borderId="8" xfId="0" applyFont="1" applyBorder="1" applyProtection="1">
      <protection hidden="1"/>
    </xf>
    <xf numFmtId="0" fontId="18" fillId="0" borderId="59" xfId="0" applyFont="1" applyBorder="1" applyAlignment="1" applyProtection="1">
      <alignment horizontal="right" shrinkToFit="1"/>
      <protection hidden="1"/>
    </xf>
    <xf numFmtId="0" fontId="15" fillId="2" borderId="60" xfId="0" applyFont="1" applyFill="1" applyBorder="1" applyAlignment="1" applyProtection="1">
      <alignment horizontal="left" indent="1"/>
      <protection locked="0" hidden="1"/>
    </xf>
    <xf numFmtId="0" fontId="15" fillId="0" borderId="0" xfId="0" applyFont="1" applyAlignment="1" applyProtection="1">
      <alignment shrinkToFit="1"/>
      <protection hidden="1"/>
    </xf>
    <xf numFmtId="0" fontId="18" fillId="0" borderId="9" xfId="0" applyFont="1" applyBorder="1" applyAlignment="1" applyProtection="1">
      <alignment shrinkToFit="1"/>
      <protection hidden="1"/>
    </xf>
    <xf numFmtId="164" fontId="18" fillId="0" borderId="0" xfId="0" applyNumberFormat="1" applyFont="1" applyAlignment="1" applyProtection="1">
      <alignment horizontal="right"/>
      <protection hidden="1"/>
    </xf>
    <xf numFmtId="164" fontId="20" fillId="0" borderId="0" xfId="0" applyNumberFormat="1" applyFont="1" applyFill="1" applyBorder="1" applyAlignment="1" applyProtection="1">
      <alignment horizontal="left"/>
      <protection hidden="1"/>
    </xf>
    <xf numFmtId="0" fontId="18" fillId="0" borderId="10" xfId="0" applyFont="1" applyBorder="1" applyAlignment="1" applyProtection="1">
      <alignment horizontal="right" shrinkToFit="1"/>
      <protection hidden="1"/>
    </xf>
    <xf numFmtId="0" fontId="15" fillId="0" borderId="61" xfId="0" applyFont="1" applyBorder="1" applyProtection="1">
      <protection hidden="1"/>
    </xf>
    <xf numFmtId="0" fontId="15" fillId="6" borderId="14" xfId="0" applyFont="1" applyFill="1" applyBorder="1" applyAlignment="1" applyProtection="1">
      <alignment horizontal="left" indent="1"/>
      <protection locked="0" hidden="1"/>
    </xf>
    <xf numFmtId="0" fontId="15" fillId="2" borderId="62" xfId="0" applyFont="1" applyFill="1" applyBorder="1" applyAlignment="1" applyProtection="1">
      <alignment horizontal="left" indent="1"/>
      <protection locked="0" hidden="1"/>
    </xf>
    <xf numFmtId="0" fontId="15" fillId="2" borderId="15" xfId="0" applyFont="1" applyFill="1" applyBorder="1" applyAlignment="1" applyProtection="1">
      <alignment horizontal="left" indent="1"/>
      <protection locked="0" hidden="1"/>
    </xf>
    <xf numFmtId="0" fontId="15" fillId="2" borderId="16" xfId="0" applyFont="1" applyFill="1" applyBorder="1" applyAlignment="1" applyProtection="1">
      <alignment horizontal="left" indent="1"/>
      <protection locked="0" hidden="1"/>
    </xf>
    <xf numFmtId="0" fontId="15" fillId="6" borderId="63" xfId="0" applyFont="1" applyFill="1" applyBorder="1" applyAlignment="1" applyProtection="1">
      <alignment horizontal="left" indent="1"/>
      <protection locked="0" hidden="1"/>
    </xf>
    <xf numFmtId="0" fontId="15" fillId="6" borderId="58" xfId="0" applyFont="1" applyFill="1" applyBorder="1" applyAlignment="1" applyProtection="1">
      <alignment horizontal="left" indent="1"/>
      <protection locked="0" hidden="1"/>
    </xf>
    <xf numFmtId="0" fontId="15" fillId="2" borderId="64" xfId="0" applyFont="1" applyFill="1" applyBorder="1" applyAlignment="1" applyProtection="1">
      <alignment horizontal="left" indent="1"/>
      <protection locked="0" hidden="1"/>
    </xf>
    <xf numFmtId="0" fontId="8" fillId="2" borderId="64" xfId="0" applyFont="1" applyFill="1" applyBorder="1" applyAlignment="1" applyProtection="1">
      <alignment horizontal="left" indent="1"/>
      <protection locked="0" hidden="1"/>
    </xf>
    <xf numFmtId="170" fontId="20" fillId="0" borderId="0" xfId="0" applyNumberFormat="1" applyFont="1" applyProtection="1">
      <protection hidden="1"/>
    </xf>
    <xf numFmtId="0" fontId="9" fillId="0" borderId="0" xfId="0" applyFont="1" applyAlignment="1" applyProtection="1">
      <alignment vertical="top" wrapText="1"/>
      <protection hidden="1"/>
    </xf>
    <xf numFmtId="0" fontId="10" fillId="0" borderId="0" xfId="0" applyFont="1" applyAlignment="1" applyProtection="1">
      <alignment horizontal="left" vertical="top" wrapText="1" indent="3"/>
      <protection hidden="1"/>
    </xf>
    <xf numFmtId="0" fontId="10" fillId="0" borderId="0" xfId="0" applyFont="1" applyAlignment="1" applyProtection="1">
      <alignment horizontal="left" vertical="top" wrapText="1" indent="5"/>
      <protection hidden="1"/>
    </xf>
    <xf numFmtId="0" fontId="1" fillId="0" borderId="0" xfId="0" applyFont="1" applyAlignment="1" applyProtection="1">
      <alignment horizontal="center"/>
      <protection hidden="1"/>
    </xf>
    <xf numFmtId="0" fontId="21" fillId="0" borderId="0" xfId="0" applyFont="1" applyBorder="1" applyProtection="1">
      <protection hidden="1"/>
    </xf>
    <xf numFmtId="0" fontId="22" fillId="0" borderId="0" xfId="0" applyFont="1" applyProtection="1">
      <protection hidden="1"/>
    </xf>
    <xf numFmtId="0" fontId="23" fillId="0" borderId="0" xfId="0" applyFont="1" applyBorder="1" applyProtection="1">
      <protection hidden="1"/>
    </xf>
    <xf numFmtId="165" fontId="21" fillId="0" borderId="0" xfId="0" applyNumberFormat="1" applyFont="1" applyBorder="1" applyProtection="1">
      <protection hidden="1"/>
    </xf>
    <xf numFmtId="0" fontId="21" fillId="0" borderId="0" xfId="0" applyFont="1" applyFill="1" applyBorder="1" applyProtection="1">
      <protection hidden="1"/>
    </xf>
    <xf numFmtId="0" fontId="22" fillId="0" borderId="0" xfId="0" applyFont="1" applyFill="1" applyProtection="1">
      <protection hidden="1"/>
    </xf>
    <xf numFmtId="0" fontId="23" fillId="0" borderId="0" xfId="0" applyFont="1" applyFill="1" applyBorder="1" applyProtection="1">
      <protection hidden="1"/>
    </xf>
    <xf numFmtId="0" fontId="22" fillId="0" borderId="0" xfId="0" applyFont="1" applyFill="1" applyBorder="1" applyProtection="1">
      <protection hidden="1"/>
    </xf>
    <xf numFmtId="0" fontId="23" fillId="0" borderId="0" xfId="0" applyFont="1" applyFill="1" applyBorder="1" applyAlignment="1" applyProtection="1">
      <alignment horizontal="left"/>
      <protection hidden="1"/>
    </xf>
    <xf numFmtId="0" fontId="21" fillId="0" borderId="0" xfId="0" quotePrefix="1" applyFont="1" applyFill="1" applyBorder="1" applyProtection="1">
      <protection hidden="1"/>
    </xf>
    <xf numFmtId="164" fontId="21" fillId="0" borderId="0" xfId="0" applyNumberFormat="1" applyFont="1" applyFill="1" applyBorder="1" applyProtection="1">
      <protection hidden="1"/>
    </xf>
    <xf numFmtId="164" fontId="22" fillId="0" borderId="0" xfId="0" applyNumberFormat="1" applyFont="1" applyFill="1" applyBorder="1" applyProtection="1">
      <protection hidden="1"/>
    </xf>
    <xf numFmtId="0" fontId="22" fillId="0" borderId="0" xfId="0" quotePrefix="1" applyFont="1" applyProtection="1">
      <protection hidden="1"/>
    </xf>
    <xf numFmtId="164" fontId="21" fillId="0" borderId="0" xfId="0" applyNumberFormat="1" applyFont="1" applyBorder="1" applyProtection="1">
      <protection hidden="1"/>
    </xf>
    <xf numFmtId="0" fontId="22" fillId="0" borderId="0" xfId="0" applyFont="1" applyBorder="1" applyProtection="1">
      <protection hidden="1"/>
    </xf>
    <xf numFmtId="164" fontId="22" fillId="0" borderId="0" xfId="0" applyNumberFormat="1" applyFont="1" applyBorder="1" applyProtection="1">
      <protection hidden="1"/>
    </xf>
    <xf numFmtId="0" fontId="21" fillId="0" borderId="0" xfId="0" quotePrefix="1" applyFont="1" applyBorder="1" applyProtection="1">
      <protection hidden="1"/>
    </xf>
    <xf numFmtId="164" fontId="22" fillId="0" borderId="0" xfId="0" applyNumberFormat="1" applyFont="1" applyProtection="1">
      <protection hidden="1"/>
    </xf>
    <xf numFmtId="0" fontId="24" fillId="0" borderId="0" xfId="0" applyFont="1" applyBorder="1" applyProtection="1">
      <protection hidden="1"/>
    </xf>
    <xf numFmtId="0" fontId="25" fillId="0" borderId="0" xfId="0" applyFont="1" applyBorder="1" applyAlignment="1" applyProtection="1">
      <alignment horizontal="right"/>
      <protection hidden="1"/>
    </xf>
    <xf numFmtId="0" fontId="26" fillId="0" borderId="0" xfId="0" applyFont="1" applyBorder="1" applyAlignment="1" applyProtection="1">
      <alignment horizontal="left"/>
      <protection hidden="1"/>
    </xf>
    <xf numFmtId="0" fontId="26" fillId="0" borderId="0" xfId="0" applyFont="1" applyFill="1" applyBorder="1" applyAlignment="1" applyProtection="1">
      <alignment horizontal="left"/>
      <protection hidden="1"/>
    </xf>
    <xf numFmtId="0" fontId="1" fillId="0" borderId="0" xfId="0" applyFont="1" applyAlignment="1" applyProtection="1">
      <alignment horizontal="center"/>
      <protection hidden="1"/>
    </xf>
    <xf numFmtId="165" fontId="0" fillId="0" borderId="0" xfId="0" applyNumberFormat="1" applyProtection="1">
      <protection hidden="1"/>
    </xf>
  </cellXfs>
  <cellStyles count="1">
    <cellStyle name="Normal" xfId="0" builtinId="0"/>
  </cellStyles>
  <dxfs count="77">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lor rgb="FFCCFFFF"/>
      </font>
      <fill>
        <patternFill>
          <bgColor rgb="FFCCFFFF"/>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44"/>
      </font>
      <fill>
        <patternFill>
          <bgColor indexed="44"/>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44"/>
      </font>
      <fill>
        <patternFill>
          <bgColor indexed="44"/>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41"/>
      </font>
      <fill>
        <patternFill>
          <bgColor indexed="41"/>
        </patternFill>
      </fill>
    </dxf>
    <dxf>
      <font>
        <condense val="0"/>
        <extend val="0"/>
        <color indexed="41"/>
      </font>
      <fill>
        <patternFill>
          <bgColor indexed="41"/>
        </patternFill>
      </fill>
    </dxf>
    <dxf>
      <font>
        <condense val="0"/>
        <extend val="0"/>
        <color indexed="41"/>
      </font>
      <fill>
        <patternFill>
          <bgColor indexed="41"/>
        </patternFill>
      </fill>
    </dxf>
    <dxf>
      <font>
        <condense val="0"/>
        <extend val="0"/>
        <color indexed="41"/>
      </font>
      <fill>
        <patternFill>
          <bgColor indexed="41"/>
        </patternFill>
      </fill>
    </dxf>
    <dxf>
      <font>
        <condense val="0"/>
        <extend val="0"/>
        <color indexed="41"/>
      </font>
      <fill>
        <patternFill>
          <bgColor indexed="41"/>
        </patternFill>
      </fill>
    </dxf>
    <dxf>
      <font>
        <condense val="0"/>
        <extend val="0"/>
        <color indexed="41"/>
      </font>
      <fill>
        <patternFill>
          <bgColor indexed="41"/>
        </patternFill>
      </fill>
    </dxf>
    <dxf>
      <font>
        <b/>
        <i val="0"/>
        <condense val="0"/>
        <extend val="0"/>
      </font>
      <fill>
        <patternFill>
          <bgColor indexed="13"/>
        </patternFill>
      </fill>
    </dxf>
    <dxf>
      <font>
        <b/>
        <i val="0"/>
        <condense val="0"/>
        <extend val="0"/>
        <color indexed="9"/>
      </font>
      <fill>
        <patternFill>
          <bgColor indexed="16"/>
        </patternFill>
      </fill>
    </dxf>
    <dxf>
      <fill>
        <patternFill>
          <bgColor indexed="42"/>
        </patternFill>
      </fill>
    </dxf>
    <dxf>
      <font>
        <condense val="0"/>
        <extend val="0"/>
        <color indexed="44"/>
      </font>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n-US" sz="1225" b="1" i="0" u="none" strike="noStrike" baseline="0">
                <a:solidFill>
                  <a:srgbClr val="000000"/>
                </a:solidFill>
                <a:latin typeface="Arial"/>
                <a:cs typeface="Arial"/>
              </a:rPr>
              <a:t>Noise Impact Criteria</a:t>
            </a:r>
            <a:endParaRPr lang="en-US" sz="1225" b="0" i="0" u="none" strike="noStrike" baseline="0">
              <a:solidFill>
                <a:srgbClr val="000000"/>
              </a:solidFill>
              <a:latin typeface="Arial"/>
              <a:cs typeface="Arial"/>
            </a:endParaRPr>
          </a:p>
          <a:p>
            <a:pPr>
              <a:defRPr sz="950" b="0" i="0" u="none" strike="noStrike" baseline="0">
                <a:solidFill>
                  <a:srgbClr val="000000"/>
                </a:solidFill>
                <a:latin typeface="Arial"/>
                <a:ea typeface="Arial"/>
                <a:cs typeface="Arial"/>
              </a:defRPr>
            </a:pPr>
            <a:r>
              <a:rPr lang="en-US" sz="1225" b="0" i="0" u="none" strike="noStrike" baseline="0">
                <a:solidFill>
                  <a:srgbClr val="000000"/>
                </a:solidFill>
                <a:latin typeface="Arial"/>
                <a:cs typeface="Arial"/>
              </a:rPr>
              <a:t>(FTA Manual, Fig 4-2)</a:t>
            </a:r>
          </a:p>
        </c:rich>
      </c:tx>
      <c:layout>
        <c:manualLayout>
          <c:xMode val="edge"/>
          <c:yMode val="edge"/>
          <c:x val="0.37451388888888887"/>
          <c:y val="2.7259394083277277E-2"/>
        </c:manualLayout>
      </c:layout>
      <c:overlay val="0"/>
      <c:spPr>
        <a:noFill/>
        <a:ln w="25400">
          <a:noFill/>
        </a:ln>
      </c:spPr>
    </c:title>
    <c:autoTitleDeleted val="0"/>
    <c:plotArea>
      <c:layout>
        <c:manualLayout>
          <c:layoutTarget val="inner"/>
          <c:xMode val="edge"/>
          <c:yMode val="edge"/>
          <c:x val="0.1330050860686938"/>
          <c:y val="0.14728691462201393"/>
          <c:w val="0.82758720220520587"/>
          <c:h val="0.62790737286226994"/>
        </c:manualLayout>
      </c:layout>
      <c:scatterChart>
        <c:scatterStyle val="lineMarker"/>
        <c:varyColors val="0"/>
        <c:ser>
          <c:idx val="0"/>
          <c:order val="0"/>
          <c:tx>
            <c:v>Moderate Impact</c:v>
          </c:tx>
          <c:spPr>
            <a:ln w="38100">
              <a:solidFill>
                <a:srgbClr val="FFCC00"/>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Calculations!$AD$93:$AD$133</c:f>
              <c:numCache>
                <c:formatCode>0.0</c:formatCode>
                <c:ptCount val="41"/>
                <c:pt idx="0">
                  <c:v>49.569999999999993</c:v>
                </c:pt>
                <c:pt idx="1">
                  <c:v>50.522999999999996</c:v>
                </c:pt>
                <c:pt idx="2">
                  <c:v>51.497282560000009</c:v>
                </c:pt>
                <c:pt idx="3">
                  <c:v>51.64175384</c:v>
                </c:pt>
                <c:pt idx="4">
                  <c:v>51.811678080000014</c:v>
                </c:pt>
                <c:pt idx="5">
                  <c:v>52.006810000000009</c:v>
                </c:pt>
                <c:pt idx="6">
                  <c:v>52.226904320000003</c:v>
                </c:pt>
                <c:pt idx="7">
                  <c:v>52.471715760000009</c:v>
                </c:pt>
                <c:pt idx="8">
                  <c:v>52.740999039999998</c:v>
                </c:pt>
                <c:pt idx="9">
                  <c:v>53.034508880000004</c:v>
                </c:pt>
                <c:pt idx="10">
                  <c:v>53.352000000000011</c:v>
                </c:pt>
                <c:pt idx="11">
                  <c:v>53.693227120000003</c:v>
                </c:pt>
                <c:pt idx="12">
                  <c:v>54.05794496</c:v>
                </c:pt>
                <c:pt idx="13">
                  <c:v>54.445908240000009</c:v>
                </c:pt>
                <c:pt idx="14">
                  <c:v>54.856871680000012</c:v>
                </c:pt>
                <c:pt idx="15">
                  <c:v>55.290590000000009</c:v>
                </c:pt>
                <c:pt idx="16">
                  <c:v>55.746817919999998</c:v>
                </c:pt>
                <c:pt idx="17">
                  <c:v>56.225310159999999</c:v>
                </c:pt>
                <c:pt idx="18">
                  <c:v>56.725821439999997</c:v>
                </c:pt>
                <c:pt idx="19">
                  <c:v>57.248106480000004</c:v>
                </c:pt>
                <c:pt idx="20">
                  <c:v>57.791920000000012</c:v>
                </c:pt>
                <c:pt idx="21">
                  <c:v>58.357016720000011</c:v>
                </c:pt>
                <c:pt idx="22">
                  <c:v>58.943151360000009</c:v>
                </c:pt>
                <c:pt idx="23">
                  <c:v>59.550078640000009</c:v>
                </c:pt>
                <c:pt idx="24">
                  <c:v>60.177553280000005</c:v>
                </c:pt>
                <c:pt idx="25">
                  <c:v>60.825330000000008</c:v>
                </c:pt>
                <c:pt idx="26">
                  <c:v>61.493163519999996</c:v>
                </c:pt>
                <c:pt idx="27">
                  <c:v>62.180808560000003</c:v>
                </c:pt>
                <c:pt idx="28">
                  <c:v>62.888019840000005</c:v>
                </c:pt>
                <c:pt idx="29">
                  <c:v>63.61455208000001</c:v>
                </c:pt>
                <c:pt idx="30">
                  <c:v>64.360160000000008</c:v>
                </c:pt>
                <c:pt idx="31">
                  <c:v>65.124598320000018</c:v>
                </c:pt>
                <c:pt idx="32">
                  <c:v>65</c:v>
                </c:pt>
                <c:pt idx="33">
                  <c:v>65</c:v>
                </c:pt>
                <c:pt idx="34">
                  <c:v>65</c:v>
                </c:pt>
                <c:pt idx="35">
                  <c:v>65</c:v>
                </c:pt>
                <c:pt idx="36">
                  <c:v>65</c:v>
                </c:pt>
                <c:pt idx="37">
                  <c:v>65</c:v>
                </c:pt>
                <c:pt idx="38">
                  <c:v>65</c:v>
                </c:pt>
                <c:pt idx="39">
                  <c:v>65</c:v>
                </c:pt>
                <c:pt idx="40">
                  <c:v>65</c:v>
                </c:pt>
              </c:numCache>
            </c:numRef>
          </c:yVal>
          <c:smooth val="0"/>
          <c:extLst>
            <c:ext xmlns:c16="http://schemas.microsoft.com/office/drawing/2014/chart" uri="{C3380CC4-5D6E-409C-BE32-E72D297353CC}">
              <c16:uniqueId val="{00000000-5840-4832-80B3-AF533943C61D}"/>
            </c:ext>
          </c:extLst>
        </c:ser>
        <c:ser>
          <c:idx val="1"/>
          <c:order val="1"/>
          <c:tx>
            <c:v>Severe Impact</c:v>
          </c:tx>
          <c:spPr>
            <a:ln w="38100">
              <a:solidFill>
                <a:srgbClr val="DD2D32"/>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Calculations!$AE$93:$AE$133</c:f>
              <c:numCache>
                <c:formatCode>0.0</c:formatCode>
                <c:ptCount val="41"/>
                <c:pt idx="0">
                  <c:v>54.921999999999997</c:v>
                </c:pt>
                <c:pt idx="1">
                  <c:v>55.861999999999995</c:v>
                </c:pt>
                <c:pt idx="2">
                  <c:v>56.801999999999992</c:v>
                </c:pt>
                <c:pt idx="3">
                  <c:v>57.74199999999999</c:v>
                </c:pt>
                <c:pt idx="4">
                  <c:v>58.659508800000005</c:v>
                </c:pt>
                <c:pt idx="5">
                  <c:v>58.735662499999997</c:v>
                </c:pt>
                <c:pt idx="6">
                  <c:v>58.844055199999985</c:v>
                </c:pt>
                <c:pt idx="7">
                  <c:v>58.984061099999998</c:v>
                </c:pt>
                <c:pt idx="8">
                  <c:v>59.15505439999999</c:v>
                </c:pt>
                <c:pt idx="9">
                  <c:v>59.356409299999989</c:v>
                </c:pt>
                <c:pt idx="10">
                  <c:v>59.587499999999999</c:v>
                </c:pt>
                <c:pt idx="11">
                  <c:v>59.847700699999997</c:v>
                </c:pt>
                <c:pt idx="12">
                  <c:v>60.136385599999997</c:v>
                </c:pt>
                <c:pt idx="13">
                  <c:v>60.452928900000003</c:v>
                </c:pt>
                <c:pt idx="14">
                  <c:v>60.796704800000001</c:v>
                </c:pt>
                <c:pt idx="15">
                  <c:v>61.167087499999994</c:v>
                </c:pt>
                <c:pt idx="16">
                  <c:v>61.563451200000003</c:v>
                </c:pt>
                <c:pt idx="17">
                  <c:v>61.985170099999991</c:v>
                </c:pt>
                <c:pt idx="18">
                  <c:v>62.431618399999991</c:v>
                </c:pt>
                <c:pt idx="19">
                  <c:v>62.90217029999998</c:v>
                </c:pt>
                <c:pt idx="20">
                  <c:v>63.396199999999993</c:v>
                </c:pt>
                <c:pt idx="21">
                  <c:v>63.913081699999992</c:v>
                </c:pt>
                <c:pt idx="22">
                  <c:v>64.452189599999997</c:v>
                </c:pt>
                <c:pt idx="23">
                  <c:v>65.012897899999999</c:v>
                </c:pt>
                <c:pt idx="24">
                  <c:v>65.594580800000003</c:v>
                </c:pt>
                <c:pt idx="25">
                  <c:v>66.196612500000001</c:v>
                </c:pt>
                <c:pt idx="26">
                  <c:v>66.818367199999983</c:v>
                </c:pt>
                <c:pt idx="27">
                  <c:v>67.459219099999999</c:v>
                </c:pt>
                <c:pt idx="28">
                  <c:v>68.11854240000001</c:v>
                </c:pt>
                <c:pt idx="29">
                  <c:v>68.795711299999994</c:v>
                </c:pt>
                <c:pt idx="30">
                  <c:v>69.490100000000012</c:v>
                </c:pt>
                <c:pt idx="31">
                  <c:v>70.201082700000015</c:v>
                </c:pt>
                <c:pt idx="32">
                  <c:v>70.928033599999992</c:v>
                </c:pt>
                <c:pt idx="33">
                  <c:v>71.670326899999992</c:v>
                </c:pt>
                <c:pt idx="34">
                  <c:v>72.427336800000006</c:v>
                </c:pt>
                <c:pt idx="35">
                  <c:v>73.198437499999983</c:v>
                </c:pt>
                <c:pt idx="36">
                  <c:v>73.983003200000013</c:v>
                </c:pt>
                <c:pt idx="37">
                  <c:v>74.780408100000017</c:v>
                </c:pt>
                <c:pt idx="38">
                  <c:v>75</c:v>
                </c:pt>
                <c:pt idx="39">
                  <c:v>75</c:v>
                </c:pt>
                <c:pt idx="40">
                  <c:v>75</c:v>
                </c:pt>
              </c:numCache>
            </c:numRef>
          </c:yVal>
          <c:smooth val="0"/>
          <c:extLst>
            <c:ext xmlns:c16="http://schemas.microsoft.com/office/drawing/2014/chart" uri="{C3380CC4-5D6E-409C-BE32-E72D297353CC}">
              <c16:uniqueId val="{00000001-5840-4832-80B3-AF533943C61D}"/>
            </c:ext>
          </c:extLst>
        </c:ser>
        <c:ser>
          <c:idx val="2"/>
          <c:order val="2"/>
          <c:tx>
            <c:strRef>
              <c:f>Calculations!$D$11</c:f>
              <c:strCache>
                <c:ptCount val="1"/>
                <c:pt idx="0">
                  <c:v>Receiver 1</c:v>
                </c:pt>
              </c:strCache>
            </c:strRef>
          </c:tx>
          <c:spPr>
            <a:ln w="19050">
              <a:noFill/>
            </a:ln>
          </c:spPr>
          <c:marker>
            <c:symbol val="triangle"/>
            <c:size val="12"/>
            <c:spPr>
              <a:solidFill>
                <a:srgbClr val="3366FF"/>
              </a:solidFill>
              <a:ln>
                <a:solidFill>
                  <a:srgbClr val="000000"/>
                </a:solidFill>
                <a:prstDash val="solid"/>
              </a:ln>
            </c:spPr>
          </c:marker>
          <c:dLbls>
            <c:spPr>
              <a:noFill/>
              <a:ln w="25400">
                <a:noFill/>
              </a:ln>
            </c:spPr>
            <c:txPr>
              <a:bodyPr wrap="square" lIns="38100" tIns="19050" rIns="38100" bIns="19050" anchor="ctr">
                <a:spAutoFit/>
              </a:bodyPr>
              <a:lstStyle/>
              <a:p>
                <a:pPr>
                  <a:defRPr sz="9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Calculations!$H$8</c:f>
              <c:numCache>
                <c:formatCode>#\ "dBA"</c:formatCode>
                <c:ptCount val="1"/>
                <c:pt idx="0">
                  <c:v>60</c:v>
                </c:pt>
              </c:numCache>
            </c:numRef>
          </c:xVal>
          <c:yVal>
            <c:numRef>
              <c:f>Calculations!$H$9</c:f>
              <c:numCache>
                <c:formatCode>#\ "dBA"</c:formatCode>
                <c:ptCount val="1"/>
                <c:pt idx="0">
                  <c:v>59.901545594533488</c:v>
                </c:pt>
              </c:numCache>
            </c:numRef>
          </c:yVal>
          <c:smooth val="0"/>
          <c:extLst>
            <c:ext xmlns:c16="http://schemas.microsoft.com/office/drawing/2014/chart" uri="{C3380CC4-5D6E-409C-BE32-E72D297353CC}">
              <c16:uniqueId val="{00000002-5840-4832-80B3-AF533943C61D}"/>
            </c:ext>
          </c:extLst>
        </c:ser>
        <c:dLbls>
          <c:showLegendKey val="0"/>
          <c:showVal val="0"/>
          <c:showCatName val="0"/>
          <c:showSerName val="0"/>
          <c:showPercent val="0"/>
          <c:showBubbleSize val="0"/>
        </c:dLbls>
        <c:axId val="898994704"/>
        <c:axId val="1"/>
      </c:scatterChart>
      <c:valAx>
        <c:axId val="898994704"/>
        <c:scaling>
          <c:orientation val="minMax"/>
          <c:max val="80"/>
          <c:min val="40"/>
        </c:scaling>
        <c:delete val="0"/>
        <c:axPos val="b"/>
        <c:majorGridlines>
          <c:spPr>
            <a:ln w="3175">
              <a:solidFill>
                <a:srgbClr val="969696"/>
              </a:solidFill>
              <a:prstDash val="sysDash"/>
            </a:ln>
          </c:spPr>
        </c:majorGridlines>
        <c:title>
          <c:tx>
            <c:rich>
              <a:bodyPr/>
              <a:lstStyle/>
              <a:p>
                <a:pPr>
                  <a:defRPr sz="950" b="1" i="0" u="none" strike="noStrike" baseline="0">
                    <a:solidFill>
                      <a:srgbClr val="000000"/>
                    </a:solidFill>
                    <a:latin typeface="Arial"/>
                    <a:ea typeface="Arial"/>
                    <a:cs typeface="Arial"/>
                  </a:defRPr>
                </a:pPr>
                <a:r>
                  <a:rPr lang="en-US"/>
                  <a:t>Existing Noise Exposure (dBA)</a:t>
                </a:r>
              </a:p>
            </c:rich>
          </c:tx>
          <c:layout>
            <c:manualLayout>
              <c:xMode val="edge"/>
              <c:yMode val="edge"/>
              <c:x val="0.36699547973170016"/>
              <c:y val="0.83204210026510506"/>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crossBetween val="midCat"/>
        <c:majorUnit val="5"/>
        <c:minorUnit val="1"/>
      </c:valAx>
      <c:valAx>
        <c:axId val="1"/>
        <c:scaling>
          <c:orientation val="minMax"/>
          <c:max val="85"/>
          <c:min val="40"/>
        </c:scaling>
        <c:delete val="0"/>
        <c:axPos val="l"/>
        <c:majorGridlines>
          <c:spPr>
            <a:ln w="3175">
              <a:solidFill>
                <a:srgbClr val="969696"/>
              </a:solidFill>
              <a:prstDash val="sysDash"/>
            </a:ln>
          </c:spPr>
        </c:majorGridlines>
        <c:title>
          <c:tx>
            <c:strRef>
              <c:f>Calculations!$AA$6</c:f>
              <c:strCache>
                <c:ptCount val="1"/>
                <c:pt idx="0">
                  <c:v>Project Noise Exposure/Ldn (dBA)</c:v>
                </c:pt>
              </c:strCache>
            </c:strRef>
          </c:tx>
          <c:layout>
            <c:manualLayout>
              <c:xMode val="edge"/>
              <c:yMode val="edge"/>
              <c:x val="4.187190142898805E-2"/>
              <c:y val="0.25323019295954841"/>
            </c:manualLayout>
          </c:layout>
          <c:overlay val="0"/>
          <c:spPr>
            <a:noFill/>
            <a:ln w="25400">
              <a:noFill/>
            </a:ln>
          </c:spPr>
          <c:txPr>
            <a:bodyPr/>
            <a:lstStyle/>
            <a:p>
              <a:pPr>
                <a:defRPr sz="950" b="1" i="0" u="none" strike="noStrike" baseline="0">
                  <a:solidFill>
                    <a:srgbClr val="000000"/>
                  </a:solidFill>
                  <a:latin typeface="Arial"/>
                  <a:ea typeface="Arial"/>
                  <a:cs typeface="Arial"/>
                </a:defRPr>
              </a:pPr>
              <a:endParaRPr lang="en-US"/>
            </a:p>
          </c:txPr>
        </c:title>
        <c:numFmt formatCode="0" sourceLinked="0"/>
        <c:majorTickMark val="in"/>
        <c:minorTickMark val="in"/>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898994704"/>
        <c:crosses val="autoZero"/>
        <c:crossBetween val="midCat"/>
        <c:majorUnit val="5"/>
        <c:minorUnit val="1"/>
      </c:valAx>
      <c:spPr>
        <a:noFill/>
        <a:ln w="12700">
          <a:solidFill>
            <a:srgbClr val="808080"/>
          </a:solidFill>
          <a:prstDash val="solid"/>
        </a:ln>
      </c:spPr>
    </c:plotArea>
    <c:legend>
      <c:legendPos val="r"/>
      <c:layout>
        <c:manualLayout>
          <c:xMode val="edge"/>
          <c:yMode val="edge"/>
          <c:x val="0.7361836541265675"/>
          <c:y val="0.58883235073002804"/>
          <c:w val="0.21014071157771941"/>
          <c:h val="0.15033514026827044"/>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Increase in Cumulative Noise Levels Allowed</a:t>
            </a:r>
            <a:endParaRPr lang="en-US" sz="1200" b="0" i="0" u="none" strike="noStrike" baseline="0">
              <a:solidFill>
                <a:srgbClr val="000000"/>
              </a:solidFill>
              <a:latin typeface="Arial"/>
              <a:cs typeface="Arial"/>
            </a:endParaRPr>
          </a:p>
          <a:p>
            <a:pPr>
              <a:defRPr sz="925" b="0" i="0" u="none" strike="noStrike" baseline="0">
                <a:solidFill>
                  <a:srgbClr val="000000"/>
                </a:solidFill>
                <a:latin typeface="Arial"/>
                <a:ea typeface="Arial"/>
                <a:cs typeface="Arial"/>
              </a:defRPr>
            </a:pPr>
            <a:r>
              <a:rPr lang="en-US" sz="1200" b="0" i="0" u="none" strike="noStrike" baseline="0">
                <a:solidFill>
                  <a:srgbClr val="000000"/>
                </a:solidFill>
                <a:latin typeface="Arial"/>
                <a:cs typeface="Arial"/>
              </a:rPr>
              <a:t>(FTA Manual, Figs 4-3 and 4-4)</a:t>
            </a:r>
          </a:p>
        </c:rich>
      </c:tx>
      <c:layout>
        <c:manualLayout>
          <c:xMode val="edge"/>
          <c:yMode val="edge"/>
          <c:x val="0.23340988626421699"/>
          <c:y val="1.6806868990622403E-2"/>
        </c:manualLayout>
      </c:layout>
      <c:overlay val="0"/>
      <c:spPr>
        <a:noFill/>
        <a:ln w="25400">
          <a:noFill/>
        </a:ln>
      </c:spPr>
    </c:title>
    <c:autoTitleDeleted val="0"/>
    <c:plotArea>
      <c:layout>
        <c:manualLayout>
          <c:layoutTarget val="inner"/>
          <c:xMode val="edge"/>
          <c:yMode val="edge"/>
          <c:x val="0.10983990898072321"/>
          <c:y val="0.16103073712171517"/>
          <c:w val="0.83092920676582094"/>
          <c:h val="0.60787717800335195"/>
        </c:manualLayout>
      </c:layout>
      <c:scatterChart>
        <c:scatterStyle val="lineMarker"/>
        <c:varyColors val="0"/>
        <c:ser>
          <c:idx val="2"/>
          <c:order val="0"/>
          <c:tx>
            <c:v>Moderate Impact</c:v>
          </c:tx>
          <c:spPr>
            <a:ln w="38100">
              <a:solidFill>
                <a:srgbClr val="FFCC00"/>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Calculations!$AF$93:$AF$133</c:f>
              <c:numCache>
                <c:formatCode>0.0</c:formatCode>
                <c:ptCount val="41"/>
                <c:pt idx="0">
                  <c:v>10.024825280449257</c:v>
                </c:pt>
                <c:pt idx="1">
                  <c:v>9.98252132951189</c:v>
                </c:pt>
                <c:pt idx="2">
                  <c:v>9.9593928930996185</c:v>
                </c:pt>
                <c:pt idx="3">
                  <c:v>9.1982799115886991</c:v>
                </c:pt>
                <c:pt idx="4">
                  <c:v>8.4768494152339997</c:v>
                </c:pt>
                <c:pt idx="5">
                  <c:v>7.795775478072386</c:v>
                </c:pt>
                <c:pt idx="6">
                  <c:v>7.1555201387158576</c:v>
                </c:pt>
                <c:pt idx="7">
                  <c:v>6.556282858307199</c:v>
                </c:pt>
                <c:pt idx="8">
                  <c:v>5.9979595113016657</c:v>
                </c:pt>
                <c:pt idx="9">
                  <c:v>5.4801150938604195</c:v>
                </c:pt>
                <c:pt idx="10">
                  <c:v>5.0019731542523331</c:v>
                </c:pt>
                <c:pt idx="11">
                  <c:v>4.5624232514708183</c:v>
                </c:pt>
                <c:pt idx="12">
                  <c:v>4.160045815693806</c:v>
                </c:pt>
                <c:pt idx="13">
                  <c:v>3.7931519626821739</c:v>
                </c:pt>
                <c:pt idx="14">
                  <c:v>3.4598344194114503</c:v>
                </c:pt>
                <c:pt idx="15">
                  <c:v>3.1580249552945503</c:v>
                </c:pt>
                <c:pt idx="16">
                  <c:v>2.885553635291501</c:v>
                </c:pt>
                <c:pt idx="17">
                  <c:v>2.6402057268255987</c:v>
                </c:pt>
                <c:pt idx="18">
                  <c:v>2.419773013427907</c:v>
                </c:pt>
                <c:pt idx="19">
                  <c:v>2.2220973723047805</c:v>
                </c:pt>
                <c:pt idx="20">
                  <c:v>2.0451055609390778</c:v>
                </c:pt>
                <c:pt idx="21">
                  <c:v>1.8868350870482473</c:v>
                </c:pt>
                <c:pt idx="22">
                  <c:v>1.745451732076539</c:v>
                </c:pt>
                <c:pt idx="23">
                  <c:v>1.6192597456183364</c:v>
                </c:pt>
                <c:pt idx="24">
                  <c:v>1.5067059528339684</c:v>
                </c:pt>
                <c:pt idx="25">
                  <c:v>1.406379066905032</c:v>
                </c:pt>
                <c:pt idx="26">
                  <c:v>1.3170054275395415</c:v>
                </c:pt>
                <c:pt idx="27">
                  <c:v>1.2374422434303227</c:v>
                </c:pt>
                <c:pt idx="28">
                  <c:v>1.1666692403990879</c:v>
                </c:pt>
                <c:pt idx="29">
                  <c:v>1.1037794354616182</c:v>
                </c:pt>
                <c:pt idx="30">
                  <c:v>1.0479695877320836</c:v>
                </c:pt>
                <c:pt idx="31">
                  <c:v>0.99853072932833697</c:v>
                </c:pt>
                <c:pt idx="32">
                  <c:v>0.79009749652567507</c:v>
                </c:pt>
                <c:pt idx="33">
                  <c:v>0.63892034143380272</c:v>
                </c:pt>
                <c:pt idx="34">
                  <c:v>0.51496942025231363</c:v>
                </c:pt>
                <c:pt idx="35">
                  <c:v>0.41392685158226072</c:v>
                </c:pt>
                <c:pt idx="36">
                  <c:v>0.33195619988428859</c:v>
                </c:pt>
                <c:pt idx="37">
                  <c:v>0.2657237559610337</c:v>
                </c:pt>
                <c:pt idx="38">
                  <c:v>0.21238401914254723</c:v>
                </c:pt>
                <c:pt idx="39">
                  <c:v>0.16954289279533441</c:v>
                </c:pt>
                <c:pt idx="40">
                  <c:v>0.13520922108037325</c:v>
                </c:pt>
              </c:numCache>
            </c:numRef>
          </c:yVal>
          <c:smooth val="0"/>
          <c:extLst>
            <c:ext xmlns:c16="http://schemas.microsoft.com/office/drawing/2014/chart" uri="{C3380CC4-5D6E-409C-BE32-E72D297353CC}">
              <c16:uniqueId val="{00000000-181A-44A8-A5C2-0AE06CA462F1}"/>
            </c:ext>
          </c:extLst>
        </c:ser>
        <c:ser>
          <c:idx val="3"/>
          <c:order val="1"/>
          <c:tx>
            <c:v>Severe Impact</c:v>
          </c:tx>
          <c:spPr>
            <a:ln w="38100">
              <a:solidFill>
                <a:srgbClr val="DD0806"/>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Calculations!$AG$93:$AG$133</c:f>
              <c:numCache>
                <c:formatCode>0.0</c:formatCode>
                <c:ptCount val="41"/>
                <c:pt idx="0">
                  <c:v>15.059621118967932</c:v>
                </c:pt>
                <c:pt idx="1">
                  <c:v>15.001505194828013</c:v>
                </c:pt>
                <c:pt idx="2">
                  <c:v>14.943414646666099</c:v>
                </c:pt>
                <c:pt idx="3">
                  <c:v>14.885349804881791</c:v>
                </c:pt>
                <c:pt idx="4">
                  <c:v>14.805561745045551</c:v>
                </c:pt>
                <c:pt idx="5">
                  <c:v>13.915627779348149</c:v>
                </c:pt>
                <c:pt idx="6">
                  <c:v>13.064010588686514</c:v>
                </c:pt>
                <c:pt idx="7">
                  <c:v>12.250732479362405</c:v>
                </c:pt>
                <c:pt idx="8">
                  <c:v>11.475787318181006</c:v>
                </c:pt>
                <c:pt idx="9">
                  <c:v>10.739117240345543</c:v>
                </c:pt>
                <c:pt idx="10">
                  <c:v>10.040588409084577</c:v>
                </c:pt>
                <c:pt idx="11">
                  <c:v>9.3799672101288252</c:v>
                </c:pt>
                <c:pt idx="12">
                  <c:v>8.7568984290680163</c:v>
                </c:pt>
                <c:pt idx="13">
                  <c:v>8.1708869815823988</c:v>
                </c:pt>
                <c:pt idx="14">
                  <c:v>7.6212846205644738</c:v>
                </c:pt>
                <c:pt idx="15">
                  <c:v>7.1072827300593318</c:v>
                </c:pt>
                <c:pt idx="16">
                  <c:v>6.6279118621947291</c:v>
                </c:pt>
                <c:pt idx="17">
                  <c:v>6.1820481341276547</c:v>
                </c:pt>
                <c:pt idx="18">
                  <c:v>5.7684260482902587</c:v>
                </c:pt>
                <c:pt idx="19">
                  <c:v>5.3856568043905639</c:v>
                </c:pt>
                <c:pt idx="20">
                  <c:v>5.0322507974349406</c:v>
                </c:pt>
                <c:pt idx="21">
                  <c:v>4.7066427811312792</c:v>
                </c:pt>
                <c:pt idx="22">
                  <c:v>4.4072181307340657</c:v>
                </c:pt>
                <c:pt idx="23">
                  <c:v>4.1323387472726836</c:v>
                </c:pt>
                <c:pt idx="24">
                  <c:v>3.880367369998595</c:v>
                </c:pt>
                <c:pt idx="25">
                  <c:v>3.6496893597085602</c:v>
                </c:pt>
                <c:pt idx="26">
                  <c:v>3.4387313360724221</c:v>
                </c:pt>
                <c:pt idx="27">
                  <c:v>3.2459763581985186</c:v>
                </c:pt>
                <c:pt idx="28">
                  <c:v>3.0699756018082383</c:v>
                </c:pt>
                <c:pt idx="29">
                  <c:v>2.90935669333291</c:v>
                </c:pt>
                <c:pt idx="30">
                  <c:v>2.7628290066683832</c:v>
                </c:pt>
                <c:pt idx="31">
                  <c:v>2.6291863160511042</c:v>
                </c:pt>
                <c:pt idx="32">
                  <c:v>2.5073072373973986</c:v>
                </c:pt>
                <c:pt idx="33">
                  <c:v>2.3961538915599334</c:v>
                </c:pt>
                <c:pt idx="34">
                  <c:v>2.2947691975293623</c:v>
                </c:pt>
                <c:pt idx="35">
                  <c:v>2.2022731616669233</c:v>
                </c:pt>
                <c:pt idx="36">
                  <c:v>2.1178584787487438</c:v>
                </c:pt>
                <c:pt idx="37">
                  <c:v>2.0407857080317768</c:v>
                </c:pt>
                <c:pt idx="38">
                  <c:v>1.7643486243648567</c:v>
                </c:pt>
                <c:pt idx="39">
                  <c:v>1.4554046310929607</c:v>
                </c:pt>
                <c:pt idx="40">
                  <c:v>1.1933104806609407</c:v>
                </c:pt>
              </c:numCache>
            </c:numRef>
          </c:yVal>
          <c:smooth val="0"/>
          <c:extLst>
            <c:ext xmlns:c16="http://schemas.microsoft.com/office/drawing/2014/chart" uri="{C3380CC4-5D6E-409C-BE32-E72D297353CC}">
              <c16:uniqueId val="{00000001-181A-44A8-A5C2-0AE06CA462F1}"/>
            </c:ext>
          </c:extLst>
        </c:ser>
        <c:ser>
          <c:idx val="0"/>
          <c:order val="2"/>
          <c:tx>
            <c:strRef>
              <c:f>Calculations!$D$11</c:f>
              <c:strCache>
                <c:ptCount val="1"/>
                <c:pt idx="0">
                  <c:v>Receiver 1</c:v>
                </c:pt>
              </c:strCache>
            </c:strRef>
          </c:tx>
          <c:spPr>
            <a:ln w="19050">
              <a:noFill/>
            </a:ln>
          </c:spPr>
          <c:marker>
            <c:symbol val="diamond"/>
            <c:size val="12"/>
            <c:spPr>
              <a:solidFill>
                <a:srgbClr val="3366FF"/>
              </a:solidFill>
              <a:ln>
                <a:solidFill>
                  <a:srgbClr val="000000"/>
                </a:solidFill>
                <a:prstDash val="solid"/>
              </a:ln>
            </c:spPr>
          </c:marker>
          <c:dLbls>
            <c:spPr>
              <a:noFill/>
              <a:ln w="25400">
                <a:noFill/>
              </a:ln>
            </c:spPr>
            <c:txPr>
              <a:bodyPr wrap="square" lIns="38100" tIns="19050" rIns="38100" bIns="19050" anchor="ctr">
                <a:spAutoFit/>
              </a:bodyPr>
              <a:lstStyle/>
              <a:p>
                <a:pPr>
                  <a:defRPr sz="9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Calculations!$H$8</c:f>
              <c:numCache>
                <c:formatCode>#\ "dBA"</c:formatCode>
                <c:ptCount val="1"/>
                <c:pt idx="0">
                  <c:v>60</c:v>
                </c:pt>
              </c:numCache>
            </c:numRef>
          </c:xVal>
          <c:yVal>
            <c:numRef>
              <c:f>Calculations!$H$11</c:f>
              <c:numCache>
                <c:formatCode>#0\ "dB"</c:formatCode>
                <c:ptCount val="1"/>
                <c:pt idx="0">
                  <c:v>2.9613517426687537</c:v>
                </c:pt>
              </c:numCache>
            </c:numRef>
          </c:yVal>
          <c:smooth val="0"/>
          <c:extLst>
            <c:ext xmlns:c16="http://schemas.microsoft.com/office/drawing/2014/chart" uri="{C3380CC4-5D6E-409C-BE32-E72D297353CC}">
              <c16:uniqueId val="{00000002-181A-44A8-A5C2-0AE06CA462F1}"/>
            </c:ext>
          </c:extLst>
        </c:ser>
        <c:dLbls>
          <c:showLegendKey val="0"/>
          <c:showVal val="0"/>
          <c:showCatName val="0"/>
          <c:showSerName val="0"/>
          <c:showPercent val="0"/>
          <c:showBubbleSize val="0"/>
        </c:dLbls>
        <c:axId val="978111272"/>
        <c:axId val="1"/>
      </c:scatterChart>
      <c:valAx>
        <c:axId val="978111272"/>
        <c:scaling>
          <c:orientation val="minMax"/>
          <c:max val="80"/>
          <c:min val="40"/>
        </c:scaling>
        <c:delete val="0"/>
        <c:axPos val="b"/>
        <c:majorGridlines>
          <c:spPr>
            <a:ln w="3175">
              <a:solidFill>
                <a:srgbClr val="969696"/>
              </a:solidFill>
              <a:prstDash val="sysDash"/>
            </a:ln>
          </c:spPr>
        </c:majorGridlines>
        <c:title>
          <c:tx>
            <c:rich>
              <a:bodyPr/>
              <a:lstStyle/>
              <a:p>
                <a:pPr>
                  <a:defRPr sz="925" b="1" i="0" u="none" strike="noStrike" baseline="0">
                    <a:solidFill>
                      <a:srgbClr val="000000"/>
                    </a:solidFill>
                    <a:latin typeface="Arial"/>
                    <a:ea typeface="Arial"/>
                    <a:cs typeface="Arial"/>
                  </a:defRPr>
                </a:pPr>
                <a:r>
                  <a:rPr lang="en-US"/>
                  <a:t>Existing Noise Exposure (dBA)</a:t>
                </a:r>
              </a:p>
            </c:rich>
          </c:tx>
          <c:layout>
            <c:manualLayout>
              <c:xMode val="edge"/>
              <c:yMode val="edge"/>
              <c:x val="0.34096146835812186"/>
              <c:y val="0.84453817644653717"/>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
        <c:crossesAt val="-100"/>
        <c:crossBetween val="midCat"/>
        <c:majorUnit val="5"/>
        <c:minorUnit val="1"/>
      </c:valAx>
      <c:valAx>
        <c:axId val="1"/>
        <c:scaling>
          <c:orientation val="minMax"/>
          <c:max val="20"/>
          <c:min val="0"/>
        </c:scaling>
        <c:delete val="0"/>
        <c:axPos val="l"/>
        <c:majorGridlines>
          <c:spPr>
            <a:ln w="3175">
              <a:solidFill>
                <a:srgbClr val="969696"/>
              </a:solidFill>
              <a:prstDash val="sysDash"/>
            </a:ln>
          </c:spPr>
        </c:majorGridlines>
        <c:title>
          <c:tx>
            <c:rich>
              <a:bodyPr/>
              <a:lstStyle/>
              <a:p>
                <a:pPr>
                  <a:defRPr sz="925" b="1" i="0" u="none" strike="noStrike" baseline="0">
                    <a:solidFill>
                      <a:srgbClr val="000000"/>
                    </a:solidFill>
                    <a:latin typeface="Arial"/>
                    <a:ea typeface="Arial"/>
                    <a:cs typeface="Arial"/>
                  </a:defRPr>
                </a:pPr>
                <a:r>
                  <a:rPr lang="en-US"/>
                  <a:t>Noise Exposure Increase (dB)</a:t>
                </a:r>
              </a:p>
            </c:rich>
          </c:tx>
          <c:layout>
            <c:manualLayout>
              <c:xMode val="edge"/>
              <c:yMode val="edge"/>
              <c:x val="9.1531787693205011E-3"/>
              <c:y val="0.21008427966604679"/>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978111272"/>
        <c:crossesAt val="-100"/>
        <c:crossBetween val="midCat"/>
        <c:majorUnit val="5"/>
        <c:minorUnit val="1"/>
      </c:valAx>
      <c:spPr>
        <a:noFill/>
        <a:ln w="12700">
          <a:solidFill>
            <a:srgbClr val="808080"/>
          </a:solidFill>
          <a:prstDash val="solid"/>
        </a:ln>
      </c:spPr>
    </c:plotArea>
    <c:legend>
      <c:legendPos val="r"/>
      <c:layout>
        <c:manualLayout>
          <c:xMode val="edge"/>
          <c:yMode val="edge"/>
          <c:x val="5.2104294254884803E-2"/>
          <c:y val="0.92660836993365781"/>
          <c:w val="0.92384860746573338"/>
          <c:h val="6.4220314169271542E-2"/>
        </c:manualLayout>
      </c:layout>
      <c:overlay val="0"/>
      <c:spPr>
        <a:solidFill>
          <a:srgbClr val="FFFFFF"/>
        </a:solidFill>
        <a:ln w="25400">
          <a:noFill/>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0" i="0" u="none" strike="noStrike" baseline="0">
                <a:solidFill>
                  <a:srgbClr val="000000"/>
                </a:solidFill>
                <a:latin typeface="Arial"/>
                <a:ea typeface="Arial"/>
                <a:cs typeface="Arial"/>
              </a:defRPr>
            </a:pPr>
            <a:r>
              <a:rPr lang="en-US" sz="1750" b="1" i="0" u="none" strike="noStrike" baseline="0">
                <a:solidFill>
                  <a:srgbClr val="000000"/>
                </a:solidFill>
                <a:latin typeface="Arial"/>
                <a:cs typeface="Arial"/>
              </a:rPr>
              <a:t>Noise Impact Criteria</a:t>
            </a:r>
            <a:endParaRPr lang="en-US" sz="1750" b="0" i="0" u="none" strike="noStrike" baseline="0">
              <a:solidFill>
                <a:srgbClr val="000000"/>
              </a:solidFill>
              <a:latin typeface="Arial"/>
              <a:cs typeface="Arial"/>
            </a:endParaRPr>
          </a:p>
          <a:p>
            <a:pPr>
              <a:defRPr sz="1350" b="0" i="0" u="none" strike="noStrike" baseline="0">
                <a:solidFill>
                  <a:srgbClr val="000000"/>
                </a:solidFill>
                <a:latin typeface="Arial"/>
                <a:ea typeface="Arial"/>
                <a:cs typeface="Arial"/>
              </a:defRPr>
            </a:pPr>
            <a:r>
              <a:rPr lang="en-US" sz="1750" b="0" i="0" u="none" strike="noStrike" baseline="0">
                <a:solidFill>
                  <a:srgbClr val="000000"/>
                </a:solidFill>
                <a:latin typeface="Arial"/>
                <a:cs typeface="Arial"/>
              </a:rPr>
              <a:t>(FTA Manual, Fig 3-1)</a:t>
            </a:r>
          </a:p>
        </c:rich>
      </c:tx>
      <c:layout>
        <c:manualLayout>
          <c:xMode val="edge"/>
          <c:yMode val="edge"/>
          <c:x val="0.37278639109752393"/>
          <c:y val="2.7667941507311587E-2"/>
        </c:manualLayout>
      </c:layout>
      <c:overlay val="0"/>
      <c:spPr>
        <a:noFill/>
        <a:ln w="25400">
          <a:noFill/>
        </a:ln>
      </c:spPr>
    </c:title>
    <c:autoTitleDeleted val="0"/>
    <c:plotArea>
      <c:layout>
        <c:manualLayout>
          <c:layoutTarget val="inner"/>
          <c:xMode val="edge"/>
          <c:yMode val="edge"/>
          <c:x val="6.3373696916923614E-2"/>
          <c:y val="0.12055327243492704"/>
          <c:w val="0.78657941467475778"/>
          <c:h val="0.78458441240436128"/>
        </c:manualLayout>
      </c:layout>
      <c:scatterChart>
        <c:scatterStyle val="lineMarker"/>
        <c:varyColors val="0"/>
        <c:ser>
          <c:idx val="0"/>
          <c:order val="0"/>
          <c:tx>
            <c:v>Moderate Impact</c:v>
          </c:tx>
          <c:spPr>
            <a:ln w="38100">
              <a:solidFill>
                <a:srgbClr val="FFCC00"/>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Calculations!$AD$93:$AD$133</c:f>
              <c:numCache>
                <c:formatCode>0.0</c:formatCode>
                <c:ptCount val="41"/>
                <c:pt idx="0">
                  <c:v>49.569999999999993</c:v>
                </c:pt>
                <c:pt idx="1">
                  <c:v>50.522999999999996</c:v>
                </c:pt>
                <c:pt idx="2">
                  <c:v>51.497282560000009</c:v>
                </c:pt>
                <c:pt idx="3">
                  <c:v>51.64175384</c:v>
                </c:pt>
                <c:pt idx="4">
                  <c:v>51.811678080000014</c:v>
                </c:pt>
                <c:pt idx="5">
                  <c:v>52.006810000000009</c:v>
                </c:pt>
                <c:pt idx="6">
                  <c:v>52.226904320000003</c:v>
                </c:pt>
                <c:pt idx="7">
                  <c:v>52.471715760000009</c:v>
                </c:pt>
                <c:pt idx="8">
                  <c:v>52.740999039999998</c:v>
                </c:pt>
                <c:pt idx="9">
                  <c:v>53.034508880000004</c:v>
                </c:pt>
                <c:pt idx="10">
                  <c:v>53.352000000000011</c:v>
                </c:pt>
                <c:pt idx="11">
                  <c:v>53.693227120000003</c:v>
                </c:pt>
                <c:pt idx="12">
                  <c:v>54.05794496</c:v>
                </c:pt>
                <c:pt idx="13">
                  <c:v>54.445908240000009</c:v>
                </c:pt>
                <c:pt idx="14">
                  <c:v>54.856871680000012</c:v>
                </c:pt>
                <c:pt idx="15">
                  <c:v>55.290590000000009</c:v>
                </c:pt>
                <c:pt idx="16">
                  <c:v>55.746817919999998</c:v>
                </c:pt>
                <c:pt idx="17">
                  <c:v>56.225310159999999</c:v>
                </c:pt>
                <c:pt idx="18">
                  <c:v>56.725821439999997</c:v>
                </c:pt>
                <c:pt idx="19">
                  <c:v>57.248106480000004</c:v>
                </c:pt>
                <c:pt idx="20">
                  <c:v>57.791920000000012</c:v>
                </c:pt>
                <c:pt idx="21">
                  <c:v>58.357016720000011</c:v>
                </c:pt>
                <c:pt idx="22">
                  <c:v>58.943151360000009</c:v>
                </c:pt>
                <c:pt idx="23">
                  <c:v>59.550078640000009</c:v>
                </c:pt>
                <c:pt idx="24">
                  <c:v>60.177553280000005</c:v>
                </c:pt>
                <c:pt idx="25">
                  <c:v>60.825330000000008</c:v>
                </c:pt>
                <c:pt idx="26">
                  <c:v>61.493163519999996</c:v>
                </c:pt>
                <c:pt idx="27">
                  <c:v>62.180808560000003</c:v>
                </c:pt>
                <c:pt idx="28">
                  <c:v>62.888019840000005</c:v>
                </c:pt>
                <c:pt idx="29">
                  <c:v>63.61455208000001</c:v>
                </c:pt>
                <c:pt idx="30">
                  <c:v>64.360160000000008</c:v>
                </c:pt>
                <c:pt idx="31">
                  <c:v>65.124598320000018</c:v>
                </c:pt>
                <c:pt idx="32">
                  <c:v>65</c:v>
                </c:pt>
                <c:pt idx="33">
                  <c:v>65</c:v>
                </c:pt>
                <c:pt idx="34">
                  <c:v>65</c:v>
                </c:pt>
                <c:pt idx="35">
                  <c:v>65</c:v>
                </c:pt>
                <c:pt idx="36">
                  <c:v>65</c:v>
                </c:pt>
                <c:pt idx="37">
                  <c:v>65</c:v>
                </c:pt>
                <c:pt idx="38">
                  <c:v>65</c:v>
                </c:pt>
                <c:pt idx="39">
                  <c:v>65</c:v>
                </c:pt>
                <c:pt idx="40">
                  <c:v>65</c:v>
                </c:pt>
              </c:numCache>
            </c:numRef>
          </c:yVal>
          <c:smooth val="0"/>
          <c:extLst>
            <c:ext xmlns:c16="http://schemas.microsoft.com/office/drawing/2014/chart" uri="{C3380CC4-5D6E-409C-BE32-E72D297353CC}">
              <c16:uniqueId val="{00000000-E883-4E19-BCC5-13B56E6E296A}"/>
            </c:ext>
          </c:extLst>
        </c:ser>
        <c:ser>
          <c:idx val="1"/>
          <c:order val="1"/>
          <c:tx>
            <c:v>Severe Impact</c:v>
          </c:tx>
          <c:spPr>
            <a:ln w="38100">
              <a:solidFill>
                <a:srgbClr val="DD2D32"/>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Calculations!$AE$93:$AE$133</c:f>
              <c:numCache>
                <c:formatCode>0.0</c:formatCode>
                <c:ptCount val="41"/>
                <c:pt idx="0">
                  <c:v>54.921999999999997</c:v>
                </c:pt>
                <c:pt idx="1">
                  <c:v>55.861999999999995</c:v>
                </c:pt>
                <c:pt idx="2">
                  <c:v>56.801999999999992</c:v>
                </c:pt>
                <c:pt idx="3">
                  <c:v>57.74199999999999</c:v>
                </c:pt>
                <c:pt idx="4">
                  <c:v>58.659508800000005</c:v>
                </c:pt>
                <c:pt idx="5">
                  <c:v>58.735662499999997</c:v>
                </c:pt>
                <c:pt idx="6">
                  <c:v>58.844055199999985</c:v>
                </c:pt>
                <c:pt idx="7">
                  <c:v>58.984061099999998</c:v>
                </c:pt>
                <c:pt idx="8">
                  <c:v>59.15505439999999</c:v>
                </c:pt>
                <c:pt idx="9">
                  <c:v>59.356409299999989</c:v>
                </c:pt>
                <c:pt idx="10">
                  <c:v>59.587499999999999</c:v>
                </c:pt>
                <c:pt idx="11">
                  <c:v>59.847700699999997</c:v>
                </c:pt>
                <c:pt idx="12">
                  <c:v>60.136385599999997</c:v>
                </c:pt>
                <c:pt idx="13">
                  <c:v>60.452928900000003</c:v>
                </c:pt>
                <c:pt idx="14">
                  <c:v>60.796704800000001</c:v>
                </c:pt>
                <c:pt idx="15">
                  <c:v>61.167087499999994</c:v>
                </c:pt>
                <c:pt idx="16">
                  <c:v>61.563451200000003</c:v>
                </c:pt>
                <c:pt idx="17">
                  <c:v>61.985170099999991</c:v>
                </c:pt>
                <c:pt idx="18">
                  <c:v>62.431618399999991</c:v>
                </c:pt>
                <c:pt idx="19">
                  <c:v>62.90217029999998</c:v>
                </c:pt>
                <c:pt idx="20">
                  <c:v>63.396199999999993</c:v>
                </c:pt>
                <c:pt idx="21">
                  <c:v>63.913081699999992</c:v>
                </c:pt>
                <c:pt idx="22">
                  <c:v>64.452189599999997</c:v>
                </c:pt>
                <c:pt idx="23">
                  <c:v>65.012897899999999</c:v>
                </c:pt>
                <c:pt idx="24">
                  <c:v>65.594580800000003</c:v>
                </c:pt>
                <c:pt idx="25">
                  <c:v>66.196612500000001</c:v>
                </c:pt>
                <c:pt idx="26">
                  <c:v>66.818367199999983</c:v>
                </c:pt>
                <c:pt idx="27">
                  <c:v>67.459219099999999</c:v>
                </c:pt>
                <c:pt idx="28">
                  <c:v>68.11854240000001</c:v>
                </c:pt>
                <c:pt idx="29">
                  <c:v>68.795711299999994</c:v>
                </c:pt>
                <c:pt idx="30">
                  <c:v>69.490100000000012</c:v>
                </c:pt>
                <c:pt idx="31">
                  <c:v>70.201082700000015</c:v>
                </c:pt>
                <c:pt idx="32">
                  <c:v>70.928033599999992</c:v>
                </c:pt>
                <c:pt idx="33">
                  <c:v>71.670326899999992</c:v>
                </c:pt>
                <c:pt idx="34">
                  <c:v>72.427336800000006</c:v>
                </c:pt>
                <c:pt idx="35">
                  <c:v>73.198437499999983</c:v>
                </c:pt>
                <c:pt idx="36">
                  <c:v>73.983003200000013</c:v>
                </c:pt>
                <c:pt idx="37">
                  <c:v>74.780408100000017</c:v>
                </c:pt>
                <c:pt idx="38">
                  <c:v>75</c:v>
                </c:pt>
                <c:pt idx="39">
                  <c:v>75</c:v>
                </c:pt>
                <c:pt idx="40">
                  <c:v>75</c:v>
                </c:pt>
              </c:numCache>
            </c:numRef>
          </c:yVal>
          <c:smooth val="0"/>
          <c:extLst>
            <c:ext xmlns:c16="http://schemas.microsoft.com/office/drawing/2014/chart" uri="{C3380CC4-5D6E-409C-BE32-E72D297353CC}">
              <c16:uniqueId val="{00000001-E883-4E19-BCC5-13B56E6E296A}"/>
            </c:ext>
          </c:extLst>
        </c:ser>
        <c:ser>
          <c:idx val="2"/>
          <c:order val="2"/>
          <c:tx>
            <c:strRef>
              <c:f>Calculations!$D$11</c:f>
              <c:strCache>
                <c:ptCount val="1"/>
                <c:pt idx="0">
                  <c:v>Receiver 1</c:v>
                </c:pt>
              </c:strCache>
            </c:strRef>
          </c:tx>
          <c:spPr>
            <a:ln w="19050">
              <a:noFill/>
            </a:ln>
          </c:spPr>
          <c:marker>
            <c:symbol val="triangle"/>
            <c:size val="15"/>
            <c:spPr>
              <a:solidFill>
                <a:srgbClr val="0000D4"/>
              </a:solidFill>
              <a:ln>
                <a:solidFill>
                  <a:srgbClr val="000000"/>
                </a:solidFill>
                <a:prstDash val="solid"/>
              </a:ln>
            </c:spPr>
          </c:marker>
          <c:dLbls>
            <c:spPr>
              <a:noFill/>
              <a:ln w="25400">
                <a:noFill/>
              </a:ln>
            </c:spPr>
            <c:txPr>
              <a:bodyPr wrap="square" lIns="38100" tIns="19050" rIns="38100" bIns="19050" anchor="ctr">
                <a:spAutoFit/>
              </a:bodyPr>
              <a:lstStyle/>
              <a:p>
                <a:pPr>
                  <a:defRPr sz="17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Calculations!$H$8</c:f>
              <c:numCache>
                <c:formatCode>#\ "dBA"</c:formatCode>
                <c:ptCount val="1"/>
                <c:pt idx="0">
                  <c:v>60</c:v>
                </c:pt>
              </c:numCache>
            </c:numRef>
          </c:xVal>
          <c:yVal>
            <c:numRef>
              <c:f>Calculations!$H$9</c:f>
              <c:numCache>
                <c:formatCode>#\ "dBA"</c:formatCode>
                <c:ptCount val="1"/>
                <c:pt idx="0">
                  <c:v>59.901545594533488</c:v>
                </c:pt>
              </c:numCache>
            </c:numRef>
          </c:yVal>
          <c:smooth val="0"/>
          <c:extLst>
            <c:ext xmlns:c16="http://schemas.microsoft.com/office/drawing/2014/chart" uri="{C3380CC4-5D6E-409C-BE32-E72D297353CC}">
              <c16:uniqueId val="{00000002-E883-4E19-BCC5-13B56E6E296A}"/>
            </c:ext>
          </c:extLst>
        </c:ser>
        <c:dLbls>
          <c:showLegendKey val="0"/>
          <c:showVal val="0"/>
          <c:showCatName val="0"/>
          <c:showSerName val="0"/>
          <c:showPercent val="0"/>
          <c:showBubbleSize val="0"/>
        </c:dLbls>
        <c:axId val="978113568"/>
        <c:axId val="1"/>
      </c:scatterChart>
      <c:valAx>
        <c:axId val="978113568"/>
        <c:scaling>
          <c:orientation val="minMax"/>
          <c:max val="80"/>
          <c:min val="40"/>
        </c:scaling>
        <c:delete val="0"/>
        <c:axPos val="b"/>
        <c:majorGridlines>
          <c:spPr>
            <a:ln w="3175">
              <a:solidFill>
                <a:srgbClr val="969696"/>
              </a:solidFill>
              <a:prstDash val="sysDash"/>
            </a:ln>
          </c:spPr>
        </c:majorGridlines>
        <c:title>
          <c:tx>
            <c:rich>
              <a:bodyPr/>
              <a:lstStyle/>
              <a:p>
                <a:pPr>
                  <a:defRPr sz="1450" b="1" i="0" u="none" strike="noStrike" baseline="0">
                    <a:solidFill>
                      <a:srgbClr val="000000"/>
                    </a:solidFill>
                    <a:latin typeface="Arial"/>
                    <a:ea typeface="Arial"/>
                    <a:cs typeface="Arial"/>
                  </a:defRPr>
                </a:pPr>
                <a:r>
                  <a:rPr lang="en-US"/>
                  <a:t>Existing Noise Exposure (dBA)</a:t>
                </a:r>
              </a:p>
            </c:rich>
          </c:tx>
          <c:layout>
            <c:manualLayout>
              <c:xMode val="edge"/>
              <c:yMode val="edge"/>
              <c:x val="0.35507906128373434"/>
              <c:y val="0.9466396700412448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1"/>
        <c:crosses val="autoZero"/>
        <c:crossBetween val="midCat"/>
        <c:majorUnit val="5"/>
        <c:minorUnit val="1"/>
      </c:valAx>
      <c:valAx>
        <c:axId val="1"/>
        <c:scaling>
          <c:orientation val="minMax"/>
          <c:max val="85"/>
          <c:min val="40"/>
        </c:scaling>
        <c:delete val="0"/>
        <c:axPos val="l"/>
        <c:majorGridlines>
          <c:spPr>
            <a:ln w="3175">
              <a:solidFill>
                <a:srgbClr val="969696"/>
              </a:solidFill>
              <a:prstDash val="sysDash"/>
            </a:ln>
          </c:spPr>
        </c:majorGridlines>
        <c:title>
          <c:tx>
            <c:strRef>
              <c:f>Calculations!$AA$6</c:f>
              <c:strCache>
                <c:ptCount val="1"/>
                <c:pt idx="0">
                  <c:v>Project Noise Exposure/Ldn (dBA)</c:v>
                </c:pt>
              </c:strCache>
            </c:strRef>
          </c:tx>
          <c:layout>
            <c:manualLayout>
              <c:xMode val="edge"/>
              <c:yMode val="edge"/>
              <c:x val="3.7278904574122359E-3"/>
              <c:y val="0.27272710911136105"/>
            </c:manualLayout>
          </c:layout>
          <c:overlay val="0"/>
          <c:spPr>
            <a:noFill/>
            <a:ln w="25400">
              <a:noFill/>
            </a:ln>
          </c:spPr>
          <c:txPr>
            <a:bodyPr/>
            <a:lstStyle/>
            <a:p>
              <a:pPr>
                <a:defRPr sz="1450" b="1" i="0" u="none" strike="noStrike" baseline="0">
                  <a:solidFill>
                    <a:srgbClr val="000000"/>
                  </a:solidFill>
                  <a:latin typeface="Arial"/>
                  <a:ea typeface="Arial"/>
                  <a:cs typeface="Arial"/>
                </a:defRPr>
              </a:pPr>
              <a:endParaRPr lang="en-US"/>
            </a:p>
          </c:txPr>
        </c:title>
        <c:numFmt formatCode="0" sourceLinked="0"/>
        <c:majorTickMark val="in"/>
        <c:minorTickMark val="in"/>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978113568"/>
        <c:crosses val="autoZero"/>
        <c:crossBetween val="midCat"/>
        <c:majorUnit val="5"/>
        <c:minorUnit val="1"/>
      </c:valAx>
      <c:spPr>
        <a:noFill/>
        <a:ln w="12700">
          <a:solidFill>
            <a:srgbClr val="808080"/>
          </a:solidFill>
          <a:prstDash val="solid"/>
        </a:ln>
      </c:spPr>
    </c:plotArea>
    <c:legend>
      <c:legendPos val="r"/>
      <c:layout>
        <c:manualLayout>
          <c:xMode val="edge"/>
          <c:yMode val="edge"/>
          <c:x val="0.85318107667210441"/>
          <c:y val="0.61178252718410198"/>
          <c:w val="0.14355628058727565"/>
          <c:h val="0.12084589426321712"/>
        </c:manualLayout>
      </c:layout>
      <c:overlay val="0"/>
      <c:spPr>
        <a:solidFill>
          <a:srgbClr val="FFFFFF"/>
        </a:solidFill>
        <a:ln w="25400">
          <a:noFill/>
        </a:ln>
      </c:spPr>
      <c:txPr>
        <a:bodyPr/>
        <a:lstStyle/>
        <a:p>
          <a:pPr>
            <a:defRPr sz="1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50" b="0" i="0" u="none" strike="noStrike" baseline="0">
                <a:solidFill>
                  <a:srgbClr val="000000"/>
                </a:solidFill>
                <a:latin typeface="Arial"/>
                <a:ea typeface="Arial"/>
                <a:cs typeface="Arial"/>
              </a:defRPr>
            </a:pPr>
            <a:r>
              <a:rPr lang="en-US" sz="1750" b="1" i="0" u="none" strike="noStrike" baseline="0">
                <a:solidFill>
                  <a:srgbClr val="000000"/>
                </a:solidFill>
                <a:latin typeface="Arial"/>
                <a:cs typeface="Arial"/>
              </a:rPr>
              <a:t>Increase in Cumulative Noise Levels Allowed</a:t>
            </a:r>
            <a:endParaRPr lang="en-US" sz="1750" b="0" i="0" u="none" strike="noStrike" baseline="0">
              <a:solidFill>
                <a:srgbClr val="000000"/>
              </a:solidFill>
              <a:latin typeface="Arial"/>
              <a:cs typeface="Arial"/>
            </a:endParaRPr>
          </a:p>
          <a:p>
            <a:pPr>
              <a:defRPr sz="1350" b="0" i="0" u="none" strike="noStrike" baseline="0">
                <a:solidFill>
                  <a:srgbClr val="000000"/>
                </a:solidFill>
                <a:latin typeface="Arial"/>
                <a:ea typeface="Arial"/>
                <a:cs typeface="Arial"/>
              </a:defRPr>
            </a:pPr>
            <a:r>
              <a:rPr lang="en-US" sz="1750" b="0" i="0" u="none" strike="noStrike" baseline="0">
                <a:solidFill>
                  <a:srgbClr val="000000"/>
                </a:solidFill>
                <a:latin typeface="Arial"/>
                <a:cs typeface="Arial"/>
              </a:rPr>
              <a:t>(FTA Manual, Fig 3-2)</a:t>
            </a:r>
          </a:p>
        </c:rich>
      </c:tx>
      <c:layout>
        <c:manualLayout>
          <c:xMode val="edge"/>
          <c:yMode val="edge"/>
          <c:x val="0.32525610889177187"/>
          <c:y val="3.6842010718241967E-2"/>
        </c:manualLayout>
      </c:layout>
      <c:overlay val="0"/>
      <c:spPr>
        <a:noFill/>
        <a:ln w="25400">
          <a:noFill/>
        </a:ln>
      </c:spPr>
    </c:title>
    <c:autoTitleDeleted val="0"/>
    <c:plotArea>
      <c:layout>
        <c:manualLayout>
          <c:layoutTarget val="inner"/>
          <c:xMode val="edge"/>
          <c:yMode val="edge"/>
          <c:x val="4.8462238818823944E-2"/>
          <c:y val="0.14736827903190625"/>
          <c:w val="0.80055890664172624"/>
          <c:h val="0.71578878386925893"/>
        </c:manualLayout>
      </c:layout>
      <c:scatterChart>
        <c:scatterStyle val="lineMarker"/>
        <c:varyColors val="0"/>
        <c:ser>
          <c:idx val="2"/>
          <c:order val="0"/>
          <c:tx>
            <c:v>Moderate Impact</c:v>
          </c:tx>
          <c:spPr>
            <a:ln w="38100">
              <a:solidFill>
                <a:srgbClr val="FFCC00"/>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Calculations!$AF$93:$AF$133</c:f>
              <c:numCache>
                <c:formatCode>0.0</c:formatCode>
                <c:ptCount val="41"/>
                <c:pt idx="0">
                  <c:v>10.024825280449257</c:v>
                </c:pt>
                <c:pt idx="1">
                  <c:v>9.98252132951189</c:v>
                </c:pt>
                <c:pt idx="2">
                  <c:v>9.9593928930996185</c:v>
                </c:pt>
                <c:pt idx="3">
                  <c:v>9.1982799115886991</c:v>
                </c:pt>
                <c:pt idx="4">
                  <c:v>8.4768494152339997</c:v>
                </c:pt>
                <c:pt idx="5">
                  <c:v>7.795775478072386</c:v>
                </c:pt>
                <c:pt idx="6">
                  <c:v>7.1555201387158576</c:v>
                </c:pt>
                <c:pt idx="7">
                  <c:v>6.556282858307199</c:v>
                </c:pt>
                <c:pt idx="8">
                  <c:v>5.9979595113016657</c:v>
                </c:pt>
                <c:pt idx="9">
                  <c:v>5.4801150938604195</c:v>
                </c:pt>
                <c:pt idx="10">
                  <c:v>5.0019731542523331</c:v>
                </c:pt>
                <c:pt idx="11">
                  <c:v>4.5624232514708183</c:v>
                </c:pt>
                <c:pt idx="12">
                  <c:v>4.160045815693806</c:v>
                </c:pt>
                <c:pt idx="13">
                  <c:v>3.7931519626821739</c:v>
                </c:pt>
                <c:pt idx="14">
                  <c:v>3.4598344194114503</c:v>
                </c:pt>
                <c:pt idx="15">
                  <c:v>3.1580249552945503</c:v>
                </c:pt>
                <c:pt idx="16">
                  <c:v>2.885553635291501</c:v>
                </c:pt>
                <c:pt idx="17">
                  <c:v>2.6402057268255987</c:v>
                </c:pt>
                <c:pt idx="18">
                  <c:v>2.419773013427907</c:v>
                </c:pt>
                <c:pt idx="19">
                  <c:v>2.2220973723047805</c:v>
                </c:pt>
                <c:pt idx="20">
                  <c:v>2.0451055609390778</c:v>
                </c:pt>
                <c:pt idx="21">
                  <c:v>1.8868350870482473</c:v>
                </c:pt>
                <c:pt idx="22">
                  <c:v>1.745451732076539</c:v>
                </c:pt>
                <c:pt idx="23">
                  <c:v>1.6192597456183364</c:v>
                </c:pt>
                <c:pt idx="24">
                  <c:v>1.5067059528339684</c:v>
                </c:pt>
                <c:pt idx="25">
                  <c:v>1.406379066905032</c:v>
                </c:pt>
                <c:pt idx="26">
                  <c:v>1.3170054275395415</c:v>
                </c:pt>
                <c:pt idx="27">
                  <c:v>1.2374422434303227</c:v>
                </c:pt>
                <c:pt idx="28">
                  <c:v>1.1666692403990879</c:v>
                </c:pt>
                <c:pt idx="29">
                  <c:v>1.1037794354616182</c:v>
                </c:pt>
                <c:pt idx="30">
                  <c:v>1.0479695877320836</c:v>
                </c:pt>
                <c:pt idx="31">
                  <c:v>0.99853072932833697</c:v>
                </c:pt>
                <c:pt idx="32">
                  <c:v>0.79009749652567507</c:v>
                </c:pt>
                <c:pt idx="33">
                  <c:v>0.63892034143380272</c:v>
                </c:pt>
                <c:pt idx="34">
                  <c:v>0.51496942025231363</c:v>
                </c:pt>
                <c:pt idx="35">
                  <c:v>0.41392685158226072</c:v>
                </c:pt>
                <c:pt idx="36">
                  <c:v>0.33195619988428859</c:v>
                </c:pt>
                <c:pt idx="37">
                  <c:v>0.2657237559610337</c:v>
                </c:pt>
                <c:pt idx="38">
                  <c:v>0.21238401914254723</c:v>
                </c:pt>
                <c:pt idx="39">
                  <c:v>0.16954289279533441</c:v>
                </c:pt>
                <c:pt idx="40">
                  <c:v>0.13520922108037325</c:v>
                </c:pt>
              </c:numCache>
            </c:numRef>
          </c:yVal>
          <c:smooth val="0"/>
          <c:extLst>
            <c:ext xmlns:c16="http://schemas.microsoft.com/office/drawing/2014/chart" uri="{C3380CC4-5D6E-409C-BE32-E72D297353CC}">
              <c16:uniqueId val="{00000000-1581-4354-951A-ED00B9893B46}"/>
            </c:ext>
          </c:extLst>
        </c:ser>
        <c:ser>
          <c:idx val="3"/>
          <c:order val="1"/>
          <c:tx>
            <c:v>Severe Impact</c:v>
          </c:tx>
          <c:spPr>
            <a:ln w="38100">
              <a:solidFill>
                <a:srgbClr val="DD0806"/>
              </a:solidFill>
              <a:prstDash val="solid"/>
            </a:ln>
          </c:spPr>
          <c:marker>
            <c:symbol val="none"/>
          </c:marker>
          <c:xVal>
            <c:numRef>
              <c:f>Calculations!$AC$93:$AC$133</c:f>
              <c:numCache>
                <c:formatCode>General</c:formatCode>
                <c:ptCount val="41"/>
                <c:pt idx="0">
                  <c:v>40</c:v>
                </c:pt>
                <c:pt idx="1">
                  <c:v>41</c:v>
                </c:pt>
                <c:pt idx="2">
                  <c:v>42</c:v>
                </c:pt>
                <c:pt idx="3">
                  <c:v>43</c:v>
                </c:pt>
                <c:pt idx="4">
                  <c:v>44</c:v>
                </c:pt>
                <c:pt idx="5">
                  <c:v>45</c:v>
                </c:pt>
                <c:pt idx="6">
                  <c:v>46</c:v>
                </c:pt>
                <c:pt idx="7">
                  <c:v>47</c:v>
                </c:pt>
                <c:pt idx="8">
                  <c:v>48</c:v>
                </c:pt>
                <c:pt idx="9">
                  <c:v>49</c:v>
                </c:pt>
                <c:pt idx="10">
                  <c:v>50</c:v>
                </c:pt>
                <c:pt idx="11">
                  <c:v>51</c:v>
                </c:pt>
                <c:pt idx="12">
                  <c:v>52</c:v>
                </c:pt>
                <c:pt idx="13">
                  <c:v>53</c:v>
                </c:pt>
                <c:pt idx="14">
                  <c:v>54</c:v>
                </c:pt>
                <c:pt idx="15">
                  <c:v>55</c:v>
                </c:pt>
                <c:pt idx="16">
                  <c:v>56</c:v>
                </c:pt>
                <c:pt idx="17">
                  <c:v>57</c:v>
                </c:pt>
                <c:pt idx="18">
                  <c:v>58</c:v>
                </c:pt>
                <c:pt idx="19">
                  <c:v>59</c:v>
                </c:pt>
                <c:pt idx="20">
                  <c:v>60</c:v>
                </c:pt>
                <c:pt idx="21">
                  <c:v>61</c:v>
                </c:pt>
                <c:pt idx="22">
                  <c:v>62</c:v>
                </c:pt>
                <c:pt idx="23">
                  <c:v>63</c:v>
                </c:pt>
                <c:pt idx="24">
                  <c:v>64</c:v>
                </c:pt>
                <c:pt idx="25">
                  <c:v>65</c:v>
                </c:pt>
                <c:pt idx="26">
                  <c:v>66</c:v>
                </c:pt>
                <c:pt idx="27">
                  <c:v>67</c:v>
                </c:pt>
                <c:pt idx="28">
                  <c:v>68</c:v>
                </c:pt>
                <c:pt idx="29">
                  <c:v>69</c:v>
                </c:pt>
                <c:pt idx="30">
                  <c:v>70</c:v>
                </c:pt>
                <c:pt idx="31">
                  <c:v>71</c:v>
                </c:pt>
                <c:pt idx="32">
                  <c:v>72</c:v>
                </c:pt>
                <c:pt idx="33">
                  <c:v>73</c:v>
                </c:pt>
                <c:pt idx="34">
                  <c:v>74</c:v>
                </c:pt>
                <c:pt idx="35">
                  <c:v>75</c:v>
                </c:pt>
                <c:pt idx="36">
                  <c:v>76</c:v>
                </c:pt>
                <c:pt idx="37">
                  <c:v>77</c:v>
                </c:pt>
                <c:pt idx="38">
                  <c:v>78</c:v>
                </c:pt>
                <c:pt idx="39">
                  <c:v>79</c:v>
                </c:pt>
                <c:pt idx="40">
                  <c:v>80</c:v>
                </c:pt>
              </c:numCache>
            </c:numRef>
          </c:xVal>
          <c:yVal>
            <c:numRef>
              <c:f>Calculations!$AG$93:$AG$133</c:f>
              <c:numCache>
                <c:formatCode>0.0</c:formatCode>
                <c:ptCount val="41"/>
                <c:pt idx="0">
                  <c:v>15.059621118967932</c:v>
                </c:pt>
                <c:pt idx="1">
                  <c:v>15.001505194828013</c:v>
                </c:pt>
                <c:pt idx="2">
                  <c:v>14.943414646666099</c:v>
                </c:pt>
                <c:pt idx="3">
                  <c:v>14.885349804881791</c:v>
                </c:pt>
                <c:pt idx="4">
                  <c:v>14.805561745045551</c:v>
                </c:pt>
                <c:pt idx="5">
                  <c:v>13.915627779348149</c:v>
                </c:pt>
                <c:pt idx="6">
                  <c:v>13.064010588686514</c:v>
                </c:pt>
                <c:pt idx="7">
                  <c:v>12.250732479362405</c:v>
                </c:pt>
                <c:pt idx="8">
                  <c:v>11.475787318181006</c:v>
                </c:pt>
                <c:pt idx="9">
                  <c:v>10.739117240345543</c:v>
                </c:pt>
                <c:pt idx="10">
                  <c:v>10.040588409084577</c:v>
                </c:pt>
                <c:pt idx="11">
                  <c:v>9.3799672101288252</c:v>
                </c:pt>
                <c:pt idx="12">
                  <c:v>8.7568984290680163</c:v>
                </c:pt>
                <c:pt idx="13">
                  <c:v>8.1708869815823988</c:v>
                </c:pt>
                <c:pt idx="14">
                  <c:v>7.6212846205644738</c:v>
                </c:pt>
                <c:pt idx="15">
                  <c:v>7.1072827300593318</c:v>
                </c:pt>
                <c:pt idx="16">
                  <c:v>6.6279118621947291</c:v>
                </c:pt>
                <c:pt idx="17">
                  <c:v>6.1820481341276547</c:v>
                </c:pt>
                <c:pt idx="18">
                  <c:v>5.7684260482902587</c:v>
                </c:pt>
                <c:pt idx="19">
                  <c:v>5.3856568043905639</c:v>
                </c:pt>
                <c:pt idx="20">
                  <c:v>5.0322507974349406</c:v>
                </c:pt>
                <c:pt idx="21">
                  <c:v>4.7066427811312792</c:v>
                </c:pt>
                <c:pt idx="22">
                  <c:v>4.4072181307340657</c:v>
                </c:pt>
                <c:pt idx="23">
                  <c:v>4.1323387472726836</c:v>
                </c:pt>
                <c:pt idx="24">
                  <c:v>3.880367369998595</c:v>
                </c:pt>
                <c:pt idx="25">
                  <c:v>3.6496893597085602</c:v>
                </c:pt>
                <c:pt idx="26">
                  <c:v>3.4387313360724221</c:v>
                </c:pt>
                <c:pt idx="27">
                  <c:v>3.2459763581985186</c:v>
                </c:pt>
                <c:pt idx="28">
                  <c:v>3.0699756018082383</c:v>
                </c:pt>
                <c:pt idx="29">
                  <c:v>2.90935669333291</c:v>
                </c:pt>
                <c:pt idx="30">
                  <c:v>2.7628290066683832</c:v>
                </c:pt>
                <c:pt idx="31">
                  <c:v>2.6291863160511042</c:v>
                </c:pt>
                <c:pt idx="32">
                  <c:v>2.5073072373973986</c:v>
                </c:pt>
                <c:pt idx="33">
                  <c:v>2.3961538915599334</c:v>
                </c:pt>
                <c:pt idx="34">
                  <c:v>2.2947691975293623</c:v>
                </c:pt>
                <c:pt idx="35">
                  <c:v>2.2022731616669233</c:v>
                </c:pt>
                <c:pt idx="36">
                  <c:v>2.1178584787487438</c:v>
                </c:pt>
                <c:pt idx="37">
                  <c:v>2.0407857080317768</c:v>
                </c:pt>
                <c:pt idx="38">
                  <c:v>1.7643486243648567</c:v>
                </c:pt>
                <c:pt idx="39">
                  <c:v>1.4554046310929607</c:v>
                </c:pt>
                <c:pt idx="40">
                  <c:v>1.1933104806609407</c:v>
                </c:pt>
              </c:numCache>
            </c:numRef>
          </c:yVal>
          <c:smooth val="0"/>
          <c:extLst>
            <c:ext xmlns:c16="http://schemas.microsoft.com/office/drawing/2014/chart" uri="{C3380CC4-5D6E-409C-BE32-E72D297353CC}">
              <c16:uniqueId val="{00000001-1581-4354-951A-ED00B9893B46}"/>
            </c:ext>
          </c:extLst>
        </c:ser>
        <c:ser>
          <c:idx val="0"/>
          <c:order val="2"/>
          <c:tx>
            <c:strRef>
              <c:f>Calculations!$D$11</c:f>
              <c:strCache>
                <c:ptCount val="1"/>
                <c:pt idx="0">
                  <c:v>Receiver 1</c:v>
                </c:pt>
              </c:strCache>
            </c:strRef>
          </c:tx>
          <c:spPr>
            <a:ln w="19050">
              <a:noFill/>
            </a:ln>
          </c:spPr>
          <c:marker>
            <c:symbol val="diamond"/>
            <c:size val="15"/>
            <c:spPr>
              <a:solidFill>
                <a:srgbClr val="0000D4"/>
              </a:solidFill>
              <a:ln>
                <a:solidFill>
                  <a:srgbClr val="000000"/>
                </a:solidFill>
                <a:prstDash val="solid"/>
              </a:ln>
            </c:spPr>
          </c:marker>
          <c:dLbls>
            <c:spPr>
              <a:noFill/>
              <a:ln w="25400">
                <a:noFill/>
              </a:ln>
            </c:spPr>
            <c:txPr>
              <a:bodyPr wrap="square" lIns="38100" tIns="19050" rIns="38100" bIns="19050" anchor="ctr">
                <a:spAutoFit/>
              </a:bodyPr>
              <a:lstStyle/>
              <a:p>
                <a:pPr>
                  <a:defRPr sz="17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Calculations!$H$8</c:f>
              <c:numCache>
                <c:formatCode>#\ "dBA"</c:formatCode>
                <c:ptCount val="1"/>
                <c:pt idx="0">
                  <c:v>60</c:v>
                </c:pt>
              </c:numCache>
            </c:numRef>
          </c:xVal>
          <c:yVal>
            <c:numRef>
              <c:f>Calculations!$H$11</c:f>
              <c:numCache>
                <c:formatCode>#0\ "dB"</c:formatCode>
                <c:ptCount val="1"/>
                <c:pt idx="0">
                  <c:v>2.9613517426687537</c:v>
                </c:pt>
              </c:numCache>
            </c:numRef>
          </c:yVal>
          <c:smooth val="0"/>
          <c:extLst>
            <c:ext xmlns:c16="http://schemas.microsoft.com/office/drawing/2014/chart" uri="{C3380CC4-5D6E-409C-BE32-E72D297353CC}">
              <c16:uniqueId val="{00000002-1581-4354-951A-ED00B9893B46}"/>
            </c:ext>
          </c:extLst>
        </c:ser>
        <c:dLbls>
          <c:showLegendKey val="0"/>
          <c:showVal val="0"/>
          <c:showCatName val="0"/>
          <c:showSerName val="0"/>
          <c:showPercent val="0"/>
          <c:showBubbleSize val="0"/>
        </c:dLbls>
        <c:axId val="978115864"/>
        <c:axId val="1"/>
      </c:scatterChart>
      <c:valAx>
        <c:axId val="978115864"/>
        <c:scaling>
          <c:orientation val="minMax"/>
          <c:max val="80"/>
          <c:min val="40"/>
        </c:scaling>
        <c:delete val="0"/>
        <c:axPos val="b"/>
        <c:majorGridlines>
          <c:spPr>
            <a:ln w="3175">
              <a:solidFill>
                <a:srgbClr val="969696"/>
              </a:solidFill>
              <a:prstDash val="sysDash"/>
            </a:ln>
          </c:spPr>
        </c:majorGridlines>
        <c:title>
          <c:tx>
            <c:rich>
              <a:bodyPr/>
              <a:lstStyle/>
              <a:p>
                <a:pPr>
                  <a:defRPr sz="1600" b="1" i="0" u="none" strike="noStrike" baseline="0">
                    <a:solidFill>
                      <a:srgbClr val="000000"/>
                    </a:solidFill>
                    <a:latin typeface="Arial"/>
                    <a:ea typeface="Arial"/>
                    <a:cs typeface="Arial"/>
                  </a:defRPr>
                </a:pPr>
                <a:r>
                  <a:rPr lang="en-US"/>
                  <a:t>Existing Noise Exposure (dBA)</a:t>
                </a:r>
              </a:p>
            </c:rich>
          </c:tx>
          <c:layout>
            <c:manualLayout>
              <c:xMode val="edge"/>
              <c:yMode val="edge"/>
              <c:x val="0.33737173146994476"/>
              <c:y val="0.92894663832420188"/>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1"/>
        <c:crossesAt val="-100"/>
        <c:crossBetween val="midCat"/>
        <c:majorUnit val="5"/>
        <c:minorUnit val="1"/>
      </c:valAx>
      <c:valAx>
        <c:axId val="1"/>
        <c:scaling>
          <c:orientation val="minMax"/>
          <c:max val="20"/>
          <c:min val="0"/>
        </c:scaling>
        <c:delete val="0"/>
        <c:axPos val="l"/>
        <c:majorGridlines>
          <c:spPr>
            <a:ln w="3175">
              <a:solidFill>
                <a:srgbClr val="969696"/>
              </a:solidFill>
              <a:prstDash val="sysDash"/>
            </a:ln>
          </c:spPr>
        </c:majorGridlines>
        <c:title>
          <c:tx>
            <c:rich>
              <a:bodyPr/>
              <a:lstStyle/>
              <a:p>
                <a:pPr>
                  <a:defRPr sz="1600" b="1" i="0" u="none" strike="noStrike" baseline="0">
                    <a:solidFill>
                      <a:srgbClr val="000000"/>
                    </a:solidFill>
                    <a:latin typeface="Arial"/>
                    <a:ea typeface="Arial"/>
                    <a:cs typeface="Arial"/>
                  </a:defRPr>
                </a:pPr>
                <a:r>
                  <a:rPr lang="en-US"/>
                  <a:t>Noise Exposure Increase (dB)</a:t>
                </a:r>
              </a:p>
            </c:rich>
          </c:tx>
          <c:layout>
            <c:manualLayout>
              <c:xMode val="edge"/>
              <c:yMode val="edge"/>
              <c:x val="3.7278904574122359E-3"/>
              <c:y val="0.2473682424677903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978115864"/>
        <c:crossesAt val="-100"/>
        <c:crossBetween val="midCat"/>
        <c:majorUnit val="5"/>
        <c:minorUnit val="1"/>
      </c:valAx>
      <c:spPr>
        <a:noFill/>
        <a:ln w="12700">
          <a:solidFill>
            <a:srgbClr val="808080"/>
          </a:solidFill>
          <a:prstDash val="solid"/>
        </a:ln>
      </c:spPr>
    </c:plotArea>
    <c:legend>
      <c:legendPos val="r"/>
      <c:layout>
        <c:manualLayout>
          <c:xMode val="edge"/>
          <c:yMode val="edge"/>
          <c:x val="0.85318107667210441"/>
          <c:y val="0.61971837170543798"/>
          <c:w val="0.14355628058727565"/>
          <c:h val="0.16096583934612729"/>
        </c:manualLayout>
      </c:layout>
      <c:overlay val="0"/>
      <c:spPr>
        <a:solidFill>
          <a:srgbClr val="FFFFFF"/>
        </a:solidFill>
        <a:ln w="25400">
          <a:noFill/>
        </a:ln>
      </c:spPr>
      <c:txPr>
        <a:bodyPr/>
        <a:lstStyle/>
        <a:p>
          <a:pPr>
            <a:defRPr sz="1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3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400050</xdr:colOff>
      <xdr:row>1</xdr:row>
      <xdr:rowOff>161925</xdr:rowOff>
    </xdr:from>
    <xdr:to>
      <xdr:col>17</xdr:col>
      <xdr:colOff>133350</xdr:colOff>
      <xdr:row>22</xdr:row>
      <xdr:rowOff>57150</xdr:rowOff>
    </xdr:to>
    <xdr:graphicFrame macro="">
      <xdr:nvGraphicFramePr>
        <xdr:cNvPr id="1410" name="Chart 1">
          <a:extLst>
            <a:ext uri="{FF2B5EF4-FFF2-40B4-BE49-F238E27FC236}">
              <a16:creationId xmlns:a16="http://schemas.microsoft.com/office/drawing/2014/main" id="{5ECA06BE-158F-46B1-ACBA-82E22259A9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25</xdr:row>
      <xdr:rowOff>152400</xdr:rowOff>
    </xdr:from>
    <xdr:to>
      <xdr:col>17</xdr:col>
      <xdr:colOff>133350</xdr:colOff>
      <xdr:row>47</xdr:row>
      <xdr:rowOff>47625</xdr:rowOff>
    </xdr:to>
    <xdr:graphicFrame macro="">
      <xdr:nvGraphicFramePr>
        <xdr:cNvPr id="1411" name="Chart 2">
          <a:extLst>
            <a:ext uri="{FF2B5EF4-FFF2-40B4-BE49-F238E27FC236}">
              <a16:creationId xmlns:a16="http://schemas.microsoft.com/office/drawing/2014/main" id="{D60B64C7-3692-469E-B977-8746DB7B5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781050</xdr:colOff>
      <xdr:row>38</xdr:row>
      <xdr:rowOff>152400</xdr:rowOff>
    </xdr:to>
    <xdr:graphicFrame macro="">
      <xdr:nvGraphicFramePr>
        <xdr:cNvPr id="4282" name="Chart 2">
          <a:extLst>
            <a:ext uri="{FF2B5EF4-FFF2-40B4-BE49-F238E27FC236}">
              <a16:creationId xmlns:a16="http://schemas.microsoft.com/office/drawing/2014/main" id="{9E979E81-99FC-4E56-9BB1-EE6FDDE31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114300</xdr:rowOff>
    </xdr:from>
    <xdr:to>
      <xdr:col>13</xdr:col>
      <xdr:colOff>781050</xdr:colOff>
      <xdr:row>67</xdr:row>
      <xdr:rowOff>152400</xdr:rowOff>
    </xdr:to>
    <xdr:graphicFrame macro="">
      <xdr:nvGraphicFramePr>
        <xdr:cNvPr id="4283" name="Chart 3">
          <a:extLst>
            <a:ext uri="{FF2B5EF4-FFF2-40B4-BE49-F238E27FC236}">
              <a16:creationId xmlns:a16="http://schemas.microsoft.com/office/drawing/2014/main" id="{00CEE78F-337D-4B83-B52C-EC3A53C8D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74"/>
  <sheetViews>
    <sheetView showGridLines="0" showRowColHeaders="0" workbookViewId="0">
      <selection sqref="A1:XFD1048576"/>
    </sheetView>
  </sheetViews>
  <sheetFormatPr defaultColWidth="10.75" defaultRowHeight="14.25" x14ac:dyDescent="0.2"/>
  <cols>
    <col min="1" max="1" width="3" style="51" customWidth="1"/>
    <col min="2" max="2" width="88.25" style="51" customWidth="1"/>
    <col min="3" max="16384" width="10.75" style="51"/>
  </cols>
  <sheetData>
    <row r="1" spans="2:2" ht="15" x14ac:dyDescent="0.2">
      <c r="B1" s="44" t="s">
        <v>130</v>
      </c>
    </row>
    <row r="2" spans="2:2" ht="15" x14ac:dyDescent="0.2">
      <c r="B2" s="44" t="s">
        <v>158</v>
      </c>
    </row>
    <row r="3" spans="2:2" ht="15" x14ac:dyDescent="0.2">
      <c r="B3" s="44"/>
    </row>
    <row r="7" spans="2:2" ht="15.75" thickBot="1" x14ac:dyDescent="0.25">
      <c r="B7" s="45" t="s">
        <v>159</v>
      </c>
    </row>
    <row r="9" spans="2:2" ht="99.75" x14ac:dyDescent="0.2">
      <c r="B9" s="156" t="s">
        <v>182</v>
      </c>
    </row>
    <row r="11" spans="2:2" ht="100.5" x14ac:dyDescent="0.2">
      <c r="B11" s="156" t="s">
        <v>183</v>
      </c>
    </row>
    <row r="13" spans="2:2" ht="15" x14ac:dyDescent="0.2">
      <c r="B13" s="47" t="s">
        <v>45</v>
      </c>
    </row>
    <row r="15" spans="2:2" ht="28.5" x14ac:dyDescent="0.2">
      <c r="B15" s="46" t="s">
        <v>44</v>
      </c>
    </row>
    <row r="17" spans="2:2" ht="86.25" x14ac:dyDescent="0.2">
      <c r="B17" s="157" t="s">
        <v>184</v>
      </c>
    </row>
    <row r="19" spans="2:2" ht="114.75" x14ac:dyDescent="0.2">
      <c r="B19" s="157" t="s">
        <v>192</v>
      </c>
    </row>
    <row r="20" spans="2:2" ht="15" x14ac:dyDescent="0.2">
      <c r="B20" s="49"/>
    </row>
    <row r="22" spans="2:2" ht="15" x14ac:dyDescent="0.2">
      <c r="B22" s="50" t="s">
        <v>46</v>
      </c>
    </row>
    <row r="24" spans="2:2" x14ac:dyDescent="0.2">
      <c r="B24" s="51" t="s">
        <v>61</v>
      </c>
    </row>
    <row r="26" spans="2:2" ht="129" x14ac:dyDescent="0.2">
      <c r="B26" s="48" t="s">
        <v>6</v>
      </c>
    </row>
    <row r="28" spans="2:2" ht="100.5" x14ac:dyDescent="0.2">
      <c r="B28" s="48" t="s">
        <v>3</v>
      </c>
    </row>
    <row r="30" spans="2:2" ht="157.5" x14ac:dyDescent="0.2">
      <c r="B30" s="157" t="s">
        <v>185</v>
      </c>
    </row>
    <row r="32" spans="2:2" ht="57" x14ac:dyDescent="0.2">
      <c r="B32" s="54" t="s">
        <v>15</v>
      </c>
    </row>
    <row r="34" spans="2:2" ht="57.75" x14ac:dyDescent="0.2">
      <c r="B34" s="48" t="s">
        <v>4</v>
      </c>
    </row>
    <row r="36" spans="2:2" ht="71.25" x14ac:dyDescent="0.2">
      <c r="B36" s="55" t="s">
        <v>168</v>
      </c>
    </row>
    <row r="38" spans="2:2" ht="29.25" x14ac:dyDescent="0.2">
      <c r="B38" s="48" t="s">
        <v>5</v>
      </c>
    </row>
    <row r="40" spans="2:2" ht="130.5" customHeight="1" x14ac:dyDescent="0.2">
      <c r="B40" s="53" t="s">
        <v>2</v>
      </c>
    </row>
    <row r="42" spans="2:2" ht="43.5" x14ac:dyDescent="0.2">
      <c r="B42" s="158" t="s">
        <v>186</v>
      </c>
    </row>
    <row r="43" spans="2:2" ht="15" x14ac:dyDescent="0.2">
      <c r="B43" s="49"/>
    </row>
    <row r="44" spans="2:2" ht="15" thickBot="1" x14ac:dyDescent="0.25"/>
    <row r="45" spans="2:2" ht="16.5" thickTop="1" thickBot="1" x14ac:dyDescent="0.25">
      <c r="B45" s="52" t="s">
        <v>53</v>
      </c>
    </row>
    <row r="46" spans="2:2" ht="15" thickTop="1" x14ac:dyDescent="0.2"/>
    <row r="47" spans="2:2" ht="42.75" x14ac:dyDescent="0.2">
      <c r="B47" s="46" t="s">
        <v>14</v>
      </c>
    </row>
    <row r="49" spans="2:2" ht="86.25" x14ac:dyDescent="0.2">
      <c r="B49" s="157" t="s">
        <v>187</v>
      </c>
    </row>
    <row r="51" spans="2:2" ht="86.25" x14ac:dyDescent="0.2">
      <c r="B51" s="157" t="s">
        <v>188</v>
      </c>
    </row>
    <row r="52" spans="2:2" ht="15" x14ac:dyDescent="0.2">
      <c r="B52" s="49"/>
    </row>
    <row r="54" spans="2:2" ht="15.75" thickBot="1" x14ac:dyDescent="0.25">
      <c r="B54" s="45" t="s">
        <v>52</v>
      </c>
    </row>
    <row r="56" spans="2:2" ht="100.5" x14ac:dyDescent="0.2">
      <c r="B56" s="157" t="s">
        <v>189</v>
      </c>
    </row>
    <row r="58" spans="2:2" ht="100.5" x14ac:dyDescent="0.2">
      <c r="B58" s="157" t="s">
        <v>190</v>
      </c>
    </row>
    <row r="59" spans="2:2" ht="15" x14ac:dyDescent="0.2">
      <c r="B59" s="49"/>
    </row>
    <row r="61" spans="2:2" ht="15.75" thickBot="1" x14ac:dyDescent="0.25">
      <c r="B61" s="45" t="s">
        <v>30</v>
      </c>
    </row>
    <row r="63" spans="2:2" x14ac:dyDescent="0.2">
      <c r="B63" s="51" t="s">
        <v>10</v>
      </c>
    </row>
    <row r="65" spans="2:2" x14ac:dyDescent="0.2">
      <c r="B65" s="55" t="s">
        <v>11</v>
      </c>
    </row>
    <row r="66" spans="2:2" x14ac:dyDescent="0.2">
      <c r="B66" s="55" t="s">
        <v>12</v>
      </c>
    </row>
    <row r="67" spans="2:2" x14ac:dyDescent="0.2">
      <c r="B67" s="55" t="s">
        <v>13</v>
      </c>
    </row>
    <row r="68" spans="2:2" ht="28.5" x14ac:dyDescent="0.2">
      <c r="B68" s="55" t="s">
        <v>41</v>
      </c>
    </row>
    <row r="69" spans="2:2" ht="28.5" x14ac:dyDescent="0.2">
      <c r="B69" s="55" t="s">
        <v>42</v>
      </c>
    </row>
    <row r="70" spans="2:2" ht="28.5" x14ac:dyDescent="0.2">
      <c r="B70" s="55" t="s">
        <v>43</v>
      </c>
    </row>
    <row r="72" spans="2:2" ht="28.5" x14ac:dyDescent="0.2">
      <c r="B72" s="46" t="s">
        <v>9</v>
      </c>
    </row>
    <row r="74" spans="2:2" ht="57" x14ac:dyDescent="0.2">
      <c r="B74" s="156" t="s">
        <v>191</v>
      </c>
    </row>
  </sheetData>
  <sheetProtection sheet="1" objects="1" scenarios="1" selectLockedCells="1"/>
  <phoneticPr fontId="3" type="noConversion"/>
  <pageMargins left="0.75" right="0.75" top="1" bottom="1" header="0.5" footer="0.5"/>
  <pageSetup orientation="portrait" horizontalDpi="4294967293" verticalDpi="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D200"/>
  <sheetViews>
    <sheetView showGridLines="0" showRowColHeaders="0" tabSelected="1" zoomScale="75" workbookViewId="0">
      <selection activeCell="D12" sqref="D12"/>
    </sheetView>
  </sheetViews>
  <sheetFormatPr defaultColWidth="11" defaultRowHeight="12.75" x14ac:dyDescent="0.2"/>
  <cols>
    <col min="1" max="1" width="2.25" style="1" customWidth="1"/>
    <col min="2" max="2" width="14.375" style="1" customWidth="1"/>
    <col min="3" max="3" width="37.375" style="1" customWidth="1"/>
    <col min="4" max="4" width="33.25" style="1" customWidth="1"/>
    <col min="5" max="5" width="2.625" style="1" customWidth="1"/>
    <col min="6" max="6" width="4.25" style="1" customWidth="1"/>
    <col min="7" max="7" width="24.375" style="1" customWidth="1"/>
    <col min="8" max="8" width="11.125" style="1" customWidth="1"/>
    <col min="9" max="9" width="19.25" style="1" customWidth="1"/>
    <col min="10" max="10" width="17.375" style="1" customWidth="1"/>
    <col min="11" max="11" width="3.875" style="1" customWidth="1"/>
    <col min="12" max="14" width="9.875" style="1" customWidth="1"/>
    <col min="15" max="18" width="1.875" style="1" customWidth="1"/>
    <col min="19" max="19" width="2.25" style="161" customWidth="1"/>
    <col min="20" max="25" width="1.875" style="161" customWidth="1"/>
    <col min="26" max="26" width="2.125" style="161" bestFit="1" customWidth="1"/>
    <col min="27" max="27" width="34.125" style="161" bestFit="1" customWidth="1"/>
    <col min="28" max="28" width="1.875" style="1" customWidth="1"/>
    <col min="29" max="29" width="45.625" style="1" customWidth="1"/>
    <col min="30" max="30" width="10" style="1" bestFit="1" customWidth="1"/>
    <col min="31" max="31" width="30" style="1" bestFit="1" customWidth="1"/>
    <col min="32" max="32" width="27.75" style="1" bestFit="1" customWidth="1"/>
    <col min="33" max="33" width="30" style="1" bestFit="1" customWidth="1"/>
    <col min="34" max="34" width="27.75" style="1" bestFit="1" customWidth="1"/>
    <col min="35" max="35" width="26" style="1" bestFit="1" customWidth="1"/>
    <col min="36" max="36" width="23.75" style="1" bestFit="1" customWidth="1"/>
    <col min="37" max="37" width="34.125" style="1" bestFit="1" customWidth="1"/>
    <col min="38" max="39" width="12.125" style="1" bestFit="1" customWidth="1"/>
    <col min="40" max="40" width="34.125" style="1" bestFit="1" customWidth="1"/>
    <col min="41" max="41" width="24.75" style="1" bestFit="1" customWidth="1"/>
    <col min="42" max="42" width="12.5" style="1" bestFit="1" customWidth="1"/>
    <col min="43" max="43" width="34.125" style="1" bestFit="1" customWidth="1"/>
    <col min="44" max="44" width="14.875" style="1" bestFit="1" customWidth="1"/>
    <col min="45" max="45" width="7.125" style="1" bestFit="1" customWidth="1"/>
    <col min="46" max="46" width="34.125" style="1" bestFit="1" customWidth="1"/>
    <col min="47" max="48" width="16" style="1" bestFit="1" customWidth="1"/>
    <col min="49" max="49" width="34.125" style="1" bestFit="1" customWidth="1"/>
    <col min="50" max="50" width="6.375" style="1" bestFit="1" customWidth="1"/>
    <col min="51" max="51" width="1.875" style="1" customWidth="1"/>
    <col min="52" max="52" width="34.125" style="1" bestFit="1" customWidth="1"/>
    <col min="53" max="53" width="6.375" style="1" bestFit="1" customWidth="1"/>
    <col min="54" max="54" width="1.875" style="1" customWidth="1"/>
    <col min="55" max="16384" width="11" style="1"/>
  </cols>
  <sheetData>
    <row r="1" spans="1:56" s="161" customFormat="1" x14ac:dyDescent="0.2">
      <c r="A1" s="62"/>
      <c r="B1" s="64" t="s">
        <v>130</v>
      </c>
      <c r="C1" s="62"/>
      <c r="D1" s="62"/>
      <c r="E1" s="62"/>
      <c r="F1" s="62"/>
      <c r="G1" s="62"/>
      <c r="H1" s="62"/>
      <c r="I1" s="62"/>
      <c r="J1" s="62"/>
      <c r="K1" s="62"/>
      <c r="L1" s="62"/>
      <c r="M1" s="62"/>
      <c r="N1" s="62"/>
      <c r="O1" s="62"/>
      <c r="P1" s="62"/>
      <c r="Q1" s="62"/>
      <c r="R1" s="62"/>
      <c r="AA1" s="160" t="s">
        <v>133</v>
      </c>
      <c r="AO1" s="160" t="s">
        <v>119</v>
      </c>
      <c r="AU1" s="162" t="s">
        <v>51</v>
      </c>
      <c r="AV1" s="162" t="s">
        <v>90</v>
      </c>
    </row>
    <row r="2" spans="1:56" s="161" customFormat="1" x14ac:dyDescent="0.2">
      <c r="A2" s="62"/>
      <c r="B2" s="64" t="s">
        <v>158</v>
      </c>
      <c r="C2" s="62"/>
      <c r="D2" s="62"/>
      <c r="E2" s="62"/>
      <c r="F2" s="62"/>
      <c r="G2" s="65"/>
      <c r="H2" s="62"/>
      <c r="I2" s="62"/>
      <c r="J2" s="62"/>
      <c r="K2" s="62"/>
      <c r="L2" s="62"/>
      <c r="M2" s="62"/>
      <c r="N2" s="62"/>
      <c r="O2" s="62"/>
      <c r="P2" s="62"/>
      <c r="Q2" s="62"/>
      <c r="R2" s="62"/>
      <c r="AA2" s="160" t="s">
        <v>134</v>
      </c>
      <c r="AD2" s="160" t="s">
        <v>84</v>
      </c>
      <c r="AO2" s="160" t="s">
        <v>132</v>
      </c>
      <c r="AT2" s="162" t="s">
        <v>17</v>
      </c>
      <c r="AU2" s="161">
        <f>IF(ISERROR(VLOOKUP(Calculations!D22,Calculations!AK33:AL58,2)),0,VLOOKUP(Calculations!D22,Calculations!AK33:AL58,2))</f>
        <v>61.840680443502755</v>
      </c>
      <c r="AV2" s="161">
        <f>IF(ISERROR(VLOOKUP(Calculations!D40,Calculations!AN33:AO58,2)),0,VLOOKUP(Calculations!D40,Calculations!AN33:AO58,2))</f>
        <v>53.704592600457694</v>
      </c>
    </row>
    <row r="3" spans="1:56" s="161" customFormat="1" x14ac:dyDescent="0.2">
      <c r="A3" s="62"/>
      <c r="B3" s="66"/>
      <c r="C3" s="62"/>
      <c r="D3" s="62"/>
      <c r="E3" s="62"/>
      <c r="F3" s="62"/>
      <c r="G3" s="63"/>
      <c r="H3" s="62"/>
      <c r="I3" s="62"/>
      <c r="J3" s="62"/>
      <c r="K3" s="62"/>
      <c r="L3" s="62"/>
      <c r="M3" s="62"/>
      <c r="N3" s="62"/>
      <c r="O3" s="62"/>
      <c r="P3" s="62"/>
      <c r="Q3" s="62"/>
      <c r="R3" s="62"/>
      <c r="AC3" s="160" t="s">
        <v>31</v>
      </c>
      <c r="AD3" s="160">
        <v>1</v>
      </c>
      <c r="AE3" s="163">
        <f>IF(D12=AA10,H25,H23)</f>
        <v>59.280993120779939</v>
      </c>
      <c r="AF3" s="160">
        <v>1</v>
      </c>
      <c r="AO3" s="160" t="s">
        <v>131</v>
      </c>
      <c r="AT3" s="162" t="s">
        <v>18</v>
      </c>
      <c r="AU3" s="161">
        <f>IF(ISERROR(VLOOKUP(Calculations!D22,Calculations!AK62:AL87,2)),0,VLOOKUP(Calculations!D22,Calculations!AK62:AL87,2))</f>
        <v>55.82008053022313</v>
      </c>
      <c r="AV3" s="161">
        <f>IF(ISERROR(VLOOKUP(Calculations!D40,Calculations!AN62:AO87,2)),0,VLOOKUP(Calculations!D40,Calculations!AN62:AO87,2))</f>
        <v>47.683992687178069</v>
      </c>
    </row>
    <row r="4" spans="1:56" s="161" customFormat="1" x14ac:dyDescent="0.2">
      <c r="A4" s="62"/>
      <c r="B4" s="67" t="s">
        <v>193</v>
      </c>
      <c r="C4" s="62"/>
      <c r="D4" s="62"/>
      <c r="E4" s="62"/>
      <c r="F4" s="62"/>
      <c r="G4" s="62"/>
      <c r="H4" s="62"/>
      <c r="I4" s="62"/>
      <c r="J4" s="62"/>
      <c r="K4" s="62"/>
      <c r="L4" s="62"/>
      <c r="M4" s="62"/>
      <c r="N4" s="62"/>
      <c r="O4" s="62"/>
      <c r="P4" s="62"/>
      <c r="Q4" s="62"/>
      <c r="R4" s="62"/>
      <c r="X4" s="165"/>
      <c r="Y4" s="165"/>
      <c r="Z4" s="165"/>
      <c r="AA4" s="164" t="s">
        <v>136</v>
      </c>
      <c r="AB4" s="165"/>
      <c r="AC4" s="164" t="s">
        <v>125</v>
      </c>
      <c r="AD4" s="164">
        <v>2</v>
      </c>
      <c r="AE4" s="164">
        <f>IF(D12=AA10,10*LOG(10^(H25/10)+10^(H43/10)),10*LOG(10^(H23/10)+10^(H41/10)))</f>
        <v>59.901545594533488</v>
      </c>
      <c r="AF4" s="164" t="s">
        <v>85</v>
      </c>
      <c r="AG4" s="165"/>
      <c r="AH4" s="165"/>
      <c r="AI4" s="165"/>
      <c r="AJ4" s="165"/>
      <c r="AK4" s="164" t="s">
        <v>132</v>
      </c>
      <c r="AL4" s="165"/>
      <c r="AM4" s="165"/>
      <c r="AN4" s="165"/>
      <c r="AO4" s="164" t="s">
        <v>152</v>
      </c>
      <c r="AP4" s="165"/>
      <c r="AQ4" s="165"/>
      <c r="AR4" s="165"/>
      <c r="AS4" s="165"/>
      <c r="AT4" s="166" t="s">
        <v>181</v>
      </c>
      <c r="AU4" s="161">
        <f>IF(D12=AA10,10*LOG(15*10^(AU2/10)+9*10^((AU3+10)/10))-13.8,AU2)</f>
        <v>63.780993120779939</v>
      </c>
      <c r="AV4" s="161">
        <f>IF(D12=AA10,10*LOG(15*10^(AV2/10)+9*10^((AV3+10)/10))-13.8,AV2)</f>
        <v>55.644905277734892</v>
      </c>
      <c r="AW4" s="167">
        <f>10*LOG(10^(AU4/10)+10^(AV4/10))</f>
        <v>64.401545594533488</v>
      </c>
      <c r="AX4" s="165"/>
      <c r="AY4" s="165"/>
      <c r="AZ4" s="165"/>
      <c r="BA4" s="165"/>
      <c r="BB4" s="165"/>
      <c r="BC4" s="165"/>
      <c r="BD4" s="165"/>
    </row>
    <row r="5" spans="1:56" s="161" customFormat="1" ht="13.5" thickBot="1" x14ac:dyDescent="0.25">
      <c r="A5" s="62"/>
      <c r="B5" s="66"/>
      <c r="C5" s="62"/>
      <c r="D5" s="62"/>
      <c r="E5" s="62"/>
      <c r="F5" s="62"/>
      <c r="G5" s="62"/>
      <c r="H5" s="62"/>
      <c r="I5" s="62"/>
      <c r="J5" s="62"/>
      <c r="K5" s="62"/>
      <c r="L5" s="62"/>
      <c r="M5" s="62"/>
      <c r="N5" s="62"/>
      <c r="O5" s="62"/>
      <c r="P5" s="62"/>
      <c r="Q5" s="62"/>
      <c r="R5" s="62"/>
      <c r="X5" s="165"/>
      <c r="Y5" s="165"/>
      <c r="Z5" s="165"/>
      <c r="AA5" s="164" t="s">
        <v>81</v>
      </c>
      <c r="AB5" s="165"/>
      <c r="AC5" s="164" t="s">
        <v>126</v>
      </c>
      <c r="AD5" s="164">
        <v>3</v>
      </c>
      <c r="AE5" s="164" t="e">
        <f>IF(D12=AA10,10*LOG(10^(H25/10)+10^(H43/10)+10^(H61/10)),10*LOG(10^(H23/10)+10^(H41/10)+10^(H59/10)))</f>
        <v>#VALUE!</v>
      </c>
      <c r="AF5" s="164" t="s">
        <v>86</v>
      </c>
      <c r="AG5" s="165"/>
      <c r="AH5" s="165"/>
      <c r="AI5" s="165"/>
      <c r="AJ5" s="165"/>
      <c r="AK5" s="164" t="s">
        <v>131</v>
      </c>
      <c r="AL5" s="165"/>
      <c r="AM5" s="165"/>
      <c r="AN5" s="165"/>
      <c r="AO5" s="164" t="s">
        <v>112</v>
      </c>
      <c r="AP5" s="165"/>
      <c r="AQ5" s="165"/>
      <c r="AR5" s="165"/>
      <c r="AS5" s="165"/>
      <c r="AT5" s="168" t="s">
        <v>179</v>
      </c>
      <c r="AU5" s="161">
        <f>VLOOKUP(H8,AC92:AE134,2)</f>
        <v>57.791920000000012</v>
      </c>
      <c r="AV5" s="161">
        <f>AU5</f>
        <v>57.791920000000012</v>
      </c>
      <c r="AW5" s="165"/>
      <c r="AX5" s="165"/>
      <c r="AY5" s="165"/>
      <c r="AZ5" s="165"/>
      <c r="BA5" s="165"/>
      <c r="BB5" s="165"/>
      <c r="BC5" s="165"/>
      <c r="BD5" s="165"/>
    </row>
    <row r="6" spans="1:56" s="161" customFormat="1" ht="16.5" thickTop="1" thickBot="1" x14ac:dyDescent="0.3">
      <c r="A6" s="62"/>
      <c r="B6" s="68"/>
      <c r="C6" s="69" t="s">
        <v>104</v>
      </c>
      <c r="D6" s="70"/>
      <c r="E6" s="62"/>
      <c r="F6" s="62"/>
      <c r="G6" s="62"/>
      <c r="H6" s="62"/>
      <c r="I6" s="62"/>
      <c r="J6" s="62"/>
      <c r="K6" s="62"/>
      <c r="L6" s="62"/>
      <c r="M6" s="62"/>
      <c r="N6" s="62"/>
      <c r="O6" s="62"/>
      <c r="P6" s="62"/>
      <c r="Q6" s="62"/>
      <c r="R6" s="62"/>
      <c r="X6" s="165"/>
      <c r="Y6" s="165"/>
      <c r="Z6" s="165"/>
      <c r="AA6" s="164" t="str">
        <f>IF(D12=AA10,AA4,AA5)</f>
        <v>Project Noise Exposure/Ldn (dBA)</v>
      </c>
      <c r="AB6" s="165"/>
      <c r="AC6" s="164" t="s">
        <v>89</v>
      </c>
      <c r="AD6" s="164">
        <v>4</v>
      </c>
      <c r="AE6" s="164" t="e">
        <f>IF(D12=AA10,10*LOG(10^(H25/10)+10^(H43/10)+10^(H61/10)+10^(H79/10)),10*LOG(10^(H23/10)+10^(H41/10)+10^(H59/10)+10^(H77/10)))</f>
        <v>#VALUE!</v>
      </c>
      <c r="AF6" s="164" t="s">
        <v>87</v>
      </c>
      <c r="AG6" s="164"/>
      <c r="AH6" s="164"/>
      <c r="AI6" s="164"/>
      <c r="AJ6" s="164"/>
      <c r="AK6" s="164" t="s">
        <v>152</v>
      </c>
      <c r="AL6" s="165"/>
      <c r="AM6" s="165"/>
      <c r="AN6" s="165"/>
      <c r="AO6" s="164" t="s">
        <v>75</v>
      </c>
      <c r="AP6" s="165"/>
      <c r="AQ6" s="165"/>
      <c r="AR6" s="165"/>
      <c r="AS6" s="165"/>
      <c r="AT6" s="166" t="s">
        <v>180</v>
      </c>
      <c r="AU6" s="161">
        <f>VLOOKUP(H8,AC92:AE134,3)</f>
        <v>63.396199999999993</v>
      </c>
      <c r="AV6" s="161">
        <f>AU6</f>
        <v>63.396199999999993</v>
      </c>
      <c r="AW6" s="165"/>
      <c r="AX6" s="165"/>
      <c r="AY6" s="165"/>
      <c r="AZ6" s="165">
        <f>AU4-AU5</f>
        <v>5.9890731207799277</v>
      </c>
      <c r="BA6" s="165"/>
      <c r="BB6" s="165"/>
      <c r="BC6" s="165"/>
      <c r="BD6" s="165"/>
    </row>
    <row r="7" spans="1:56" s="161" customFormat="1" ht="14.25" thickTop="1" thickBot="1" x14ac:dyDescent="0.25">
      <c r="A7" s="62"/>
      <c r="B7" s="62"/>
      <c r="C7" s="62"/>
      <c r="D7" s="62"/>
      <c r="E7" s="62"/>
      <c r="F7" s="62"/>
      <c r="G7" s="71" t="s">
        <v>77</v>
      </c>
      <c r="H7" s="62"/>
      <c r="I7" s="62"/>
      <c r="J7" s="62"/>
      <c r="K7" s="62"/>
      <c r="L7" s="62"/>
      <c r="M7" s="62"/>
      <c r="N7" s="62"/>
      <c r="O7" s="62"/>
      <c r="P7" s="62"/>
      <c r="Q7" s="62"/>
      <c r="R7" s="62"/>
      <c r="X7" s="165"/>
      <c r="Y7" s="165"/>
      <c r="Z7" s="165"/>
      <c r="AA7" s="165"/>
      <c r="AB7" s="165"/>
      <c r="AC7" s="164" t="s">
        <v>55</v>
      </c>
      <c r="AD7" s="164">
        <v>5</v>
      </c>
      <c r="AE7" s="164" t="e">
        <f>IF(D12=AA10,10*LOG(10^(H25/10)+10^(H43/10)+10^(H61/10)+10^(H79/10)+10^(H97/10)),10*LOG(10^(H23/10)+10^(H41/10)+10^(H59/10)+10^(H77/10)+10^(H95/10)))</f>
        <v>#VALUE!</v>
      </c>
      <c r="AF7" s="164" t="s">
        <v>88</v>
      </c>
      <c r="AG7" s="164"/>
      <c r="AH7" s="164"/>
      <c r="AI7" s="164"/>
      <c r="AJ7" s="164"/>
      <c r="AK7" s="164" t="s">
        <v>153</v>
      </c>
      <c r="AL7" s="165"/>
      <c r="AM7" s="165"/>
      <c r="AN7" s="165"/>
      <c r="AO7" s="164" t="s">
        <v>113</v>
      </c>
      <c r="AP7" s="165"/>
      <c r="AQ7" s="165"/>
      <c r="AR7" s="165"/>
      <c r="AS7" s="165"/>
      <c r="AT7" s="165"/>
      <c r="AW7" s="165"/>
      <c r="AX7" s="165"/>
      <c r="AY7" s="165"/>
      <c r="AZ7" s="165"/>
      <c r="BA7" s="165"/>
      <c r="BB7" s="165"/>
      <c r="BC7" s="165"/>
      <c r="BD7" s="165"/>
    </row>
    <row r="8" spans="1:56" s="161" customFormat="1" ht="15" thickTop="1" x14ac:dyDescent="0.2">
      <c r="A8" s="62"/>
      <c r="B8" s="62"/>
      <c r="C8" s="62"/>
      <c r="D8" s="62"/>
      <c r="E8" s="62"/>
      <c r="F8" s="62"/>
      <c r="G8" s="72" t="str">
        <f>IF($D$12=$AA$10,"Existing Ldn:","Existing Leqh:")</f>
        <v>Existing Ldn:</v>
      </c>
      <c r="H8" s="73">
        <f>D13</f>
        <v>60</v>
      </c>
      <c r="I8" s="62"/>
      <c r="J8" s="62"/>
      <c r="K8" s="62"/>
      <c r="L8" s="62"/>
      <c r="M8" s="62"/>
      <c r="N8" s="62"/>
      <c r="O8" s="62"/>
      <c r="P8" s="62"/>
      <c r="Q8" s="62"/>
      <c r="R8" s="62"/>
      <c r="X8" s="165"/>
      <c r="Y8" s="165"/>
      <c r="Z8" s="165"/>
      <c r="AA8" s="165"/>
      <c r="AB8" s="165"/>
      <c r="AC8" s="164" t="s">
        <v>151</v>
      </c>
      <c r="AD8" s="164">
        <v>6</v>
      </c>
      <c r="AE8" s="164" t="e">
        <f>IF(D12=AA10,10*LOG(10^(H25/10)+10^(H43/10)+10^(H61/10)+10^(H79/10)+10^(H97/10)+10^(H114/10)),10*LOG(10^(H23/10)+10^(H41/10)+10^(H59/10)+10^(H77/10)+10^(H95/10)+10^(H112/10)))</f>
        <v>#VALUE!</v>
      </c>
      <c r="AF8" s="164" t="s">
        <v>16</v>
      </c>
      <c r="AG8" s="164"/>
      <c r="AH8" s="164"/>
      <c r="AI8" s="164"/>
      <c r="AJ8" s="164"/>
      <c r="AK8" s="164" t="s">
        <v>154</v>
      </c>
      <c r="AL8" s="165"/>
      <c r="AM8" s="165"/>
      <c r="AN8" s="165"/>
      <c r="AO8" s="164" t="s">
        <v>153</v>
      </c>
      <c r="AP8" s="165"/>
      <c r="AQ8" s="165"/>
      <c r="AR8" s="165"/>
      <c r="AS8" s="167" t="s">
        <v>137</v>
      </c>
      <c r="AT8" s="166" t="s">
        <v>107</v>
      </c>
      <c r="AU8" s="161">
        <f>10^((AU4-AU5+25*LOG(50))/25)</f>
        <v>86.802639047617461</v>
      </c>
      <c r="AV8" s="161">
        <f>10^((AU4-AU6+25*LOG(50))/25)</f>
        <v>51.803813258240318</v>
      </c>
      <c r="AW8" s="165"/>
      <c r="AX8" s="165"/>
      <c r="AY8" s="165"/>
      <c r="AZ8" s="165"/>
      <c r="BA8" s="165"/>
      <c r="BB8" s="165"/>
      <c r="BC8" s="165"/>
      <c r="BD8" s="165"/>
    </row>
    <row r="9" spans="1:56" s="161" customFormat="1" ht="15" thickBot="1" x14ac:dyDescent="0.25">
      <c r="A9" s="62"/>
      <c r="B9" s="62"/>
      <c r="C9" s="62"/>
      <c r="D9" s="62"/>
      <c r="E9" s="62"/>
      <c r="F9" s="62"/>
      <c r="G9" s="74" t="str">
        <f>IF($D$12=$AA$10,"Total Project Ldn:","Total Project Leqh:")</f>
        <v>Total Project Ldn:</v>
      </c>
      <c r="H9" s="75">
        <f>VLOOKUP(D18,AD3:AE8,2)</f>
        <v>59.901545594533488</v>
      </c>
      <c r="I9" s="59"/>
      <c r="J9" s="59"/>
      <c r="K9" s="59"/>
      <c r="L9" s="59"/>
      <c r="M9" s="59"/>
      <c r="N9" s="59"/>
      <c r="O9" s="59"/>
      <c r="P9" s="59"/>
      <c r="Q9" s="59"/>
      <c r="R9" s="59"/>
      <c r="S9" s="167"/>
      <c r="T9" s="167"/>
      <c r="U9" s="167"/>
      <c r="V9" s="167"/>
      <c r="X9" s="165"/>
      <c r="Y9" s="165"/>
      <c r="Z9" s="165"/>
      <c r="AA9" s="164" t="s">
        <v>27</v>
      </c>
      <c r="AB9" s="165"/>
      <c r="AC9" s="164" t="s">
        <v>150</v>
      </c>
      <c r="AD9" s="165"/>
      <c r="AE9" s="165"/>
      <c r="AF9" s="165"/>
      <c r="AG9" s="165"/>
      <c r="AH9" s="165"/>
      <c r="AI9" s="165"/>
      <c r="AJ9" s="165"/>
      <c r="AK9" s="164" t="s">
        <v>155</v>
      </c>
      <c r="AL9" s="165"/>
      <c r="AM9" s="165"/>
      <c r="AN9" s="165"/>
      <c r="AO9" s="164" t="s">
        <v>154</v>
      </c>
      <c r="AP9" s="165"/>
      <c r="AQ9" s="165"/>
      <c r="AR9" s="165"/>
      <c r="AS9" s="165"/>
      <c r="AT9" s="166" t="s">
        <v>108</v>
      </c>
      <c r="AU9" s="161">
        <f>10^((AU4-AU5+10*LOG(50)+5*LOG(50))/15)</f>
        <v>125.38383403269351</v>
      </c>
      <c r="AV9" s="161">
        <f>10^(LOG(50)+(AU4-AU6)/15)</f>
        <v>53.042364919099469</v>
      </c>
      <c r="AW9" s="165"/>
      <c r="AX9" s="165"/>
      <c r="AY9" s="165"/>
      <c r="AZ9" s="165"/>
      <c r="BA9" s="165"/>
      <c r="BB9" s="165"/>
      <c r="BC9" s="165"/>
      <c r="BD9" s="165"/>
    </row>
    <row r="10" spans="1:56" s="161" customFormat="1" ht="15.75" thickTop="1" x14ac:dyDescent="0.25">
      <c r="A10" s="62"/>
      <c r="B10" s="76" t="s">
        <v>48</v>
      </c>
      <c r="C10" s="77"/>
      <c r="D10" s="78"/>
      <c r="E10" s="62"/>
      <c r="F10" s="62"/>
      <c r="G10" s="79" t="s">
        <v>66</v>
      </c>
      <c r="H10" s="75">
        <f>10*LOG(10^(H9/10)+10^(H8/10))</f>
        <v>62.961351742668754</v>
      </c>
      <c r="I10" s="59"/>
      <c r="J10" s="59"/>
      <c r="K10" s="59"/>
      <c r="L10" s="59"/>
      <c r="M10" s="59"/>
      <c r="N10" s="59"/>
      <c r="O10" s="59"/>
      <c r="P10" s="59"/>
      <c r="Q10" s="59"/>
      <c r="R10" s="59"/>
      <c r="S10" s="167"/>
      <c r="T10" s="167"/>
      <c r="U10" s="167"/>
      <c r="V10" s="167"/>
      <c r="X10" s="165"/>
      <c r="Y10" s="165"/>
      <c r="Z10" s="165"/>
      <c r="AA10" s="164" t="s">
        <v>76</v>
      </c>
      <c r="AB10" s="165"/>
      <c r="AC10" s="164" t="s">
        <v>160</v>
      </c>
      <c r="AD10" s="165"/>
      <c r="AE10" s="165"/>
      <c r="AF10" s="165"/>
      <c r="AG10" s="165"/>
      <c r="AH10" s="165"/>
      <c r="AI10" s="165"/>
      <c r="AJ10" s="165"/>
      <c r="AK10" s="164" t="s">
        <v>75</v>
      </c>
      <c r="AL10" s="165"/>
      <c r="AM10" s="165"/>
      <c r="AN10" s="165"/>
      <c r="AO10" s="164" t="s">
        <v>155</v>
      </c>
      <c r="AP10" s="165"/>
      <c r="AQ10" s="165"/>
      <c r="AR10" s="165"/>
      <c r="AS10" s="165"/>
      <c r="AT10" s="165"/>
      <c r="AU10" s="165"/>
      <c r="AV10" s="165"/>
      <c r="AW10" s="165"/>
      <c r="AX10" s="165"/>
      <c r="AY10" s="165"/>
      <c r="AZ10" s="165"/>
      <c r="BA10" s="165"/>
      <c r="BB10" s="165"/>
      <c r="BC10" s="165"/>
      <c r="BD10" s="165"/>
    </row>
    <row r="11" spans="1:56" s="161" customFormat="1" ht="14.25" x14ac:dyDescent="0.2">
      <c r="A11" s="62"/>
      <c r="B11" s="80"/>
      <c r="C11" s="81" t="s">
        <v>72</v>
      </c>
      <c r="D11" s="82" t="s">
        <v>135</v>
      </c>
      <c r="E11" s="62"/>
      <c r="F11" s="62"/>
      <c r="G11" s="74" t="s">
        <v>67</v>
      </c>
      <c r="H11" s="83">
        <f>IF(10*LOG(10^(H9/10)+10^(H8/10))-H8&gt;0, 10*LOG(10^(H9/10)+10^(H8/10))-H8,0)</f>
        <v>2.9613517426687537</v>
      </c>
      <c r="I11" s="59"/>
      <c r="J11" s="59"/>
      <c r="K11" s="59"/>
      <c r="L11" s="59"/>
      <c r="M11" s="59"/>
      <c r="N11" s="59"/>
      <c r="O11" s="59"/>
      <c r="P11" s="59"/>
      <c r="Q11" s="59"/>
      <c r="R11" s="59"/>
      <c r="S11" s="167"/>
      <c r="T11" s="167"/>
      <c r="U11" s="167"/>
      <c r="V11" s="167"/>
      <c r="X11" s="165"/>
      <c r="Y11" s="165"/>
      <c r="Z11" s="165"/>
      <c r="AA11" s="164" t="s">
        <v>28</v>
      </c>
      <c r="AB11" s="165"/>
      <c r="AC11" s="164" t="s">
        <v>161</v>
      </c>
      <c r="AD11" s="165"/>
      <c r="AE11" s="165"/>
      <c r="AF11" s="165"/>
      <c r="AG11" s="165"/>
      <c r="AH11" s="165"/>
      <c r="AI11" s="165"/>
      <c r="AJ11" s="165"/>
      <c r="AK11" s="164" t="s">
        <v>112</v>
      </c>
      <c r="AL11" s="165"/>
      <c r="AM11" s="165"/>
      <c r="AN11" s="165"/>
      <c r="AO11" s="164" t="s">
        <v>57</v>
      </c>
      <c r="AP11" s="165"/>
      <c r="AQ11" s="165"/>
      <c r="AR11" s="165"/>
      <c r="AS11" s="167" t="s">
        <v>138</v>
      </c>
      <c r="AT11" s="166" t="s">
        <v>107</v>
      </c>
      <c r="AU11" s="167">
        <f>10^((AW4-AU5+25*LOG(50))/25)</f>
        <v>91.908362419920493</v>
      </c>
      <c r="AV11" s="167">
        <f>10^((AW4-AU6+25*LOG(50))/25)</f>
        <v>54.850908865344202</v>
      </c>
      <c r="AW11" s="165"/>
      <c r="AX11" s="165"/>
      <c r="AY11" s="165"/>
      <c r="AZ11" s="165"/>
      <c r="BA11" s="165"/>
      <c r="BB11" s="165"/>
      <c r="BC11" s="165"/>
      <c r="BD11" s="165"/>
    </row>
    <row r="12" spans="1:56" s="161" customFormat="1" ht="15" thickBot="1" x14ac:dyDescent="0.25">
      <c r="A12" s="62"/>
      <c r="B12" s="84"/>
      <c r="C12" s="85" t="s">
        <v>118</v>
      </c>
      <c r="D12" s="86" t="s">
        <v>76</v>
      </c>
      <c r="E12" s="62"/>
      <c r="F12" s="62"/>
      <c r="G12" s="87" t="s">
        <v>68</v>
      </c>
      <c r="H12" s="88" t="str">
        <f>IF(H9&gt;VLOOKUP(H8,Calculations!AC92:AE134,2),IF(H9&gt;VLOOKUP(H8,Calculations!AC92:AE134,3),"Severe","Moderate"),"None")</f>
        <v>Moderate</v>
      </c>
      <c r="I12" s="59"/>
      <c r="J12" s="59"/>
      <c r="K12" s="59"/>
      <c r="L12" s="59"/>
      <c r="M12" s="59"/>
      <c r="N12" s="59"/>
      <c r="O12" s="59"/>
      <c r="P12" s="59"/>
      <c r="Q12" s="59"/>
      <c r="R12" s="59"/>
      <c r="S12" s="167"/>
      <c r="T12" s="167"/>
      <c r="U12" s="167"/>
      <c r="V12" s="167"/>
      <c r="X12" s="165"/>
      <c r="Y12" s="165"/>
      <c r="Z12" s="165"/>
      <c r="AA12" s="165"/>
      <c r="AB12" s="165"/>
      <c r="AC12" s="164" t="s">
        <v>124</v>
      </c>
      <c r="AD12" s="165"/>
      <c r="AE12" s="165"/>
      <c r="AF12" s="165"/>
      <c r="AG12" s="165"/>
      <c r="AH12" s="165"/>
      <c r="AI12" s="165"/>
      <c r="AJ12" s="165"/>
      <c r="AK12" s="164" t="s">
        <v>113</v>
      </c>
      <c r="AL12" s="165"/>
      <c r="AM12" s="165"/>
      <c r="AN12" s="165"/>
      <c r="AO12" s="164" t="s">
        <v>58</v>
      </c>
      <c r="AP12" s="165"/>
      <c r="AQ12" s="165"/>
      <c r="AR12" s="165"/>
      <c r="AS12" s="165"/>
      <c r="AT12" s="166" t="s">
        <v>108</v>
      </c>
      <c r="AU12" s="167">
        <f>10^(LOG(50)+(AW4-AU5)/15)</f>
        <v>137.91506569625716</v>
      </c>
      <c r="AV12" s="167">
        <f>10^(LOG(50)+(AW4-AU6)/15)</f>
        <v>58.343575939741925</v>
      </c>
      <c r="AW12" s="165"/>
      <c r="AX12" s="165"/>
      <c r="AY12" s="165"/>
      <c r="AZ12" s="165"/>
      <c r="BA12" s="165"/>
      <c r="BB12" s="165"/>
      <c r="BC12" s="165"/>
      <c r="BD12" s="165"/>
    </row>
    <row r="13" spans="1:56" s="161" customFormat="1" ht="15.75" thickTop="1" thickBot="1" x14ac:dyDescent="0.25">
      <c r="A13" s="62"/>
      <c r="B13" s="89"/>
      <c r="C13" s="90" t="s">
        <v>157</v>
      </c>
      <c r="D13" s="91">
        <v>60</v>
      </c>
      <c r="E13" s="62"/>
      <c r="F13" s="62"/>
      <c r="G13" s="92"/>
      <c r="H13" s="93"/>
      <c r="I13" s="59"/>
      <c r="J13" s="59"/>
      <c r="K13" s="59"/>
      <c r="L13" s="59"/>
      <c r="M13" s="59"/>
      <c r="N13" s="59"/>
      <c r="O13" s="59"/>
      <c r="P13" s="59"/>
      <c r="Q13" s="59"/>
      <c r="R13" s="59"/>
      <c r="S13" s="167"/>
      <c r="T13" s="167"/>
      <c r="U13" s="167"/>
      <c r="V13" s="167"/>
      <c r="X13" s="165"/>
      <c r="Y13" s="165"/>
      <c r="Z13" s="165"/>
      <c r="AA13" s="165"/>
      <c r="AB13" s="165"/>
      <c r="AC13" s="164" t="s">
        <v>175</v>
      </c>
      <c r="AD13" s="165"/>
      <c r="AE13" s="165"/>
      <c r="AF13" s="165"/>
      <c r="AG13" s="165"/>
      <c r="AH13" s="165"/>
      <c r="AI13" s="165"/>
      <c r="AJ13" s="165"/>
      <c r="AK13" s="164" t="s">
        <v>57</v>
      </c>
      <c r="AL13" s="165"/>
      <c r="AM13" s="165"/>
      <c r="AN13" s="165"/>
      <c r="AO13" s="164" t="s">
        <v>125</v>
      </c>
      <c r="AP13" s="165"/>
      <c r="AQ13" s="165"/>
      <c r="AR13" s="165"/>
      <c r="AS13" s="165"/>
      <c r="AT13" s="165"/>
      <c r="AU13" s="165"/>
      <c r="AV13" s="165"/>
      <c r="AW13" s="165"/>
      <c r="AX13" s="165"/>
      <c r="AY13" s="165"/>
      <c r="AZ13" s="165"/>
      <c r="BA13" s="165"/>
      <c r="BB13" s="165"/>
      <c r="BC13" s="165"/>
      <c r="BD13" s="165"/>
    </row>
    <row r="14" spans="1:56" s="161" customFormat="1" ht="14.25" thickTop="1" thickBot="1" x14ac:dyDescent="0.25">
      <c r="A14" s="62"/>
      <c r="B14" s="62"/>
      <c r="C14" s="62"/>
      <c r="D14" s="62"/>
      <c r="E14" s="62"/>
      <c r="F14" s="62"/>
      <c r="G14" s="71" t="s">
        <v>23</v>
      </c>
      <c r="H14" s="62"/>
      <c r="I14" s="62"/>
      <c r="J14" s="62"/>
      <c r="K14" s="62"/>
      <c r="L14" s="62"/>
      <c r="M14" s="62"/>
      <c r="N14" s="62"/>
      <c r="O14" s="62"/>
      <c r="P14" s="62"/>
      <c r="Q14" s="62"/>
      <c r="R14" s="62"/>
      <c r="X14" s="165"/>
      <c r="Y14" s="165"/>
      <c r="Z14" s="165"/>
      <c r="AA14" s="165"/>
      <c r="AB14" s="165"/>
      <c r="AC14" s="169" t="s">
        <v>177</v>
      </c>
      <c r="AD14" s="165"/>
      <c r="AE14" s="165"/>
      <c r="AF14" s="165"/>
      <c r="AG14" s="165"/>
      <c r="AH14" s="165"/>
      <c r="AI14" s="165"/>
      <c r="AJ14" s="165"/>
      <c r="AK14" s="164" t="s">
        <v>58</v>
      </c>
      <c r="AL14" s="165"/>
      <c r="AM14" s="165"/>
      <c r="AN14" s="165"/>
      <c r="AO14" s="164" t="s">
        <v>126</v>
      </c>
      <c r="AP14" s="165"/>
      <c r="AQ14" s="165"/>
      <c r="AR14" s="165"/>
      <c r="AS14" s="165"/>
      <c r="AT14" s="166"/>
      <c r="AU14" s="165"/>
      <c r="AV14" s="165"/>
      <c r="AW14" s="167" t="s">
        <v>139</v>
      </c>
      <c r="AX14" s="165"/>
      <c r="AY14" s="165"/>
      <c r="AZ14" s="165"/>
      <c r="BA14" s="165"/>
      <c r="BB14" s="165"/>
      <c r="BC14" s="165"/>
      <c r="BD14" s="165"/>
    </row>
    <row r="15" spans="1:56" s="161" customFormat="1" ht="27" thickTop="1" x14ac:dyDescent="0.25">
      <c r="A15" s="62"/>
      <c r="B15" s="62"/>
      <c r="C15" s="94"/>
      <c r="D15" s="95"/>
      <c r="E15" s="62"/>
      <c r="F15" s="62"/>
      <c r="G15" s="96" t="str">
        <f>IF(D18=1,"Dist to Mod. Impact Contour (Source 1):",IF(D18=2,"Dist to Mod. Impact Contour (Sources 1+2):","Dist to Mod. Impact Contour:"))</f>
        <v>Dist to Mod. Impact Contour (Sources 1+2):</v>
      </c>
      <c r="H15" s="97">
        <f>IF(D18=1,IF(D21=AA17,AU8,AU9),IF(D18=2,IF(D31=D49,IF(D21=D39,IF(D21=AA17,AU11,AU12),"----"),"--"),"---"))</f>
        <v>137.91506569625716</v>
      </c>
      <c r="I15" s="62"/>
      <c r="J15" s="62"/>
      <c r="K15" s="62"/>
      <c r="L15" s="62"/>
      <c r="M15" s="62"/>
      <c r="N15" s="62"/>
      <c r="O15" s="62"/>
      <c r="P15" s="62"/>
      <c r="Q15" s="62"/>
      <c r="R15" s="62"/>
      <c r="X15" s="165"/>
      <c r="Y15" s="165"/>
      <c r="Z15" s="165"/>
      <c r="AA15" s="164" t="s">
        <v>148</v>
      </c>
      <c r="AB15" s="165"/>
      <c r="AC15" s="164" t="s">
        <v>149</v>
      </c>
      <c r="AD15" s="165"/>
      <c r="AE15" s="165"/>
      <c r="AF15" s="165"/>
      <c r="AG15" s="165"/>
      <c r="AH15" s="165"/>
      <c r="AI15" s="165"/>
      <c r="AJ15" s="165"/>
      <c r="AK15" s="164" t="s">
        <v>125</v>
      </c>
      <c r="AL15" s="165"/>
      <c r="AM15" s="165"/>
      <c r="AN15" s="165"/>
      <c r="AO15" s="164" t="s">
        <v>89</v>
      </c>
      <c r="AP15" s="165"/>
      <c r="AQ15" s="165"/>
      <c r="AR15" s="165"/>
      <c r="AS15" s="165"/>
      <c r="AT15" s="165"/>
      <c r="AU15" s="165"/>
      <c r="AV15" s="165"/>
      <c r="AW15" s="167" t="s">
        <v>140</v>
      </c>
      <c r="AX15" s="165"/>
      <c r="AY15" s="165"/>
      <c r="AZ15" s="165"/>
      <c r="BA15" s="165"/>
      <c r="BB15" s="165"/>
      <c r="BC15" s="165"/>
      <c r="BD15" s="165"/>
    </row>
    <row r="16" spans="1:56" s="161" customFormat="1" ht="26.25" thickBot="1" x14ac:dyDescent="0.25">
      <c r="A16" s="62"/>
      <c r="B16" s="62"/>
      <c r="C16" s="62"/>
      <c r="D16" s="98"/>
      <c r="E16" s="62"/>
      <c r="F16" s="62"/>
      <c r="G16" s="99" t="str">
        <f>IF(D18=1,"Dist to Sev. Impact Contour (Source 1):",IF(D18=2,"Dist to Sev. Impact Contour (Sources 1+2):","Dist to Sev. Impact Contour:"))</f>
        <v>Dist to Sev. Impact Contour (Sources 1+2):</v>
      </c>
      <c r="H16" s="100">
        <f>IF(D18=1,IF(D21=AA17,AV8,AV9),IF(D18=2,IF(D31=D49,IF(D21=D39,IF(D21=AA17,AV11,AV12),"----"),"--"),"---"))</f>
        <v>58.343575939741925</v>
      </c>
      <c r="I16" s="62"/>
      <c r="J16" s="62"/>
      <c r="K16" s="62"/>
      <c r="L16" s="62"/>
      <c r="M16" s="62"/>
      <c r="N16" s="62"/>
      <c r="O16" s="62"/>
      <c r="P16" s="62"/>
      <c r="Q16" s="62"/>
      <c r="R16" s="62"/>
      <c r="X16" s="165"/>
      <c r="Y16" s="165"/>
      <c r="Z16" s="165"/>
      <c r="AA16" s="164" t="s">
        <v>166</v>
      </c>
      <c r="AB16" s="165"/>
      <c r="AC16" s="165"/>
      <c r="AD16" s="165"/>
      <c r="AE16" s="165"/>
      <c r="AF16" s="165"/>
      <c r="AG16" s="165"/>
      <c r="AH16" s="165"/>
      <c r="AI16" s="165"/>
      <c r="AJ16" s="165"/>
      <c r="AK16" s="164" t="s">
        <v>126</v>
      </c>
      <c r="AL16" s="165"/>
      <c r="AM16" s="165"/>
      <c r="AN16" s="165"/>
      <c r="AO16" s="164" t="s">
        <v>114</v>
      </c>
      <c r="AP16" s="165"/>
      <c r="AQ16" s="165"/>
      <c r="AR16" s="165"/>
      <c r="AS16" s="165"/>
      <c r="AT16" s="165"/>
      <c r="AU16" s="165"/>
      <c r="AV16" s="165"/>
      <c r="AW16" s="165"/>
      <c r="AX16" s="165"/>
      <c r="AY16" s="165"/>
      <c r="AZ16" s="165"/>
      <c r="BA16" s="165"/>
      <c r="BB16" s="165"/>
      <c r="BC16" s="165"/>
      <c r="BD16" s="165"/>
    </row>
    <row r="17" spans="1:56" s="161" customFormat="1" ht="15" thickTop="1" x14ac:dyDescent="0.2">
      <c r="A17" s="62"/>
      <c r="B17" s="101" t="s">
        <v>103</v>
      </c>
      <c r="C17" s="102"/>
      <c r="D17" s="103"/>
      <c r="E17" s="62"/>
      <c r="F17" s="62"/>
      <c r="G17" s="92"/>
      <c r="H17" s="93"/>
      <c r="I17" s="62"/>
      <c r="J17" s="62"/>
      <c r="K17" s="62"/>
      <c r="L17" s="62"/>
      <c r="M17" s="62"/>
      <c r="N17" s="62"/>
      <c r="O17" s="62"/>
      <c r="P17" s="62"/>
      <c r="Q17" s="62"/>
      <c r="R17" s="62"/>
      <c r="X17" s="165"/>
      <c r="Y17" s="165"/>
      <c r="Z17" s="165"/>
      <c r="AA17" s="164" t="s">
        <v>123</v>
      </c>
      <c r="AB17" s="165"/>
      <c r="AC17" s="165"/>
      <c r="AD17" s="165"/>
      <c r="AE17" s="165"/>
      <c r="AF17" s="165"/>
      <c r="AG17" s="165"/>
      <c r="AH17" s="165"/>
      <c r="AI17" s="165"/>
      <c r="AJ17" s="165"/>
      <c r="AK17" s="164" t="s">
        <v>114</v>
      </c>
      <c r="AL17" s="165"/>
      <c r="AM17" s="165"/>
      <c r="AN17" s="165"/>
      <c r="AO17" s="164" t="s">
        <v>115</v>
      </c>
      <c r="AP17" s="165"/>
      <c r="AQ17" s="165"/>
      <c r="AR17" s="165"/>
      <c r="AS17" s="165"/>
      <c r="AT17" s="166"/>
      <c r="AU17" s="165"/>
      <c r="AV17" s="165"/>
      <c r="AW17" s="167" t="s">
        <v>141</v>
      </c>
      <c r="AX17" s="165"/>
      <c r="AY17" s="165"/>
      <c r="AZ17" s="165"/>
      <c r="BA17" s="165"/>
      <c r="BB17" s="165"/>
      <c r="BC17" s="165"/>
      <c r="BD17" s="165"/>
    </row>
    <row r="18" spans="1:56" s="161" customFormat="1" ht="15" thickBot="1" x14ac:dyDescent="0.25">
      <c r="A18" s="62"/>
      <c r="B18" s="104"/>
      <c r="C18" s="105" t="s">
        <v>47</v>
      </c>
      <c r="D18" s="106">
        <v>2</v>
      </c>
      <c r="E18" s="62"/>
      <c r="F18" s="62"/>
      <c r="G18" s="92"/>
      <c r="H18" s="93"/>
      <c r="I18" s="62"/>
      <c r="J18" s="62"/>
      <c r="K18" s="62"/>
      <c r="L18" s="62"/>
      <c r="M18" s="62"/>
      <c r="N18" s="62"/>
      <c r="O18" s="62"/>
      <c r="P18" s="62"/>
      <c r="Q18" s="62"/>
      <c r="R18" s="62"/>
      <c r="X18" s="165"/>
      <c r="Y18" s="165"/>
      <c r="Z18" s="165"/>
      <c r="AA18" s="169" t="s">
        <v>101</v>
      </c>
      <c r="AB18" s="165"/>
      <c r="AD18" s="165"/>
      <c r="AE18" s="165"/>
      <c r="AF18" s="165"/>
      <c r="AG18" s="165"/>
      <c r="AH18" s="165"/>
      <c r="AI18" s="165"/>
      <c r="AJ18" s="165"/>
      <c r="AK18" s="164" t="s">
        <v>115</v>
      </c>
      <c r="AL18" s="165"/>
      <c r="AM18" s="165"/>
      <c r="AN18" s="165"/>
      <c r="AO18" s="164" t="s">
        <v>56</v>
      </c>
      <c r="AP18" s="165"/>
      <c r="AQ18" s="165"/>
      <c r="AR18" s="165"/>
      <c r="AS18" s="165"/>
      <c r="AT18" s="165"/>
      <c r="AU18" s="165"/>
      <c r="AV18" s="165"/>
      <c r="AW18" s="167" t="s">
        <v>62</v>
      </c>
      <c r="AX18" s="165"/>
      <c r="AY18" s="165"/>
      <c r="AZ18" s="165"/>
      <c r="BA18" s="165"/>
      <c r="BB18" s="165"/>
      <c r="BC18" s="165"/>
      <c r="BD18" s="165"/>
    </row>
    <row r="19" spans="1:56" s="161" customFormat="1" ht="15.75" thickTop="1" thickBot="1" x14ac:dyDescent="0.25">
      <c r="A19" s="62"/>
      <c r="B19" s="62"/>
      <c r="C19" s="62"/>
      <c r="D19" s="62"/>
      <c r="E19" s="62"/>
      <c r="F19" s="62"/>
      <c r="G19" s="92"/>
      <c r="H19" s="93"/>
      <c r="I19" s="62"/>
      <c r="J19" s="62"/>
      <c r="K19" s="62"/>
      <c r="L19" s="62"/>
      <c r="M19" s="62"/>
      <c r="N19" s="62"/>
      <c r="O19" s="62"/>
      <c r="P19" s="62"/>
      <c r="Q19" s="62"/>
      <c r="R19" s="62"/>
      <c r="X19" s="165"/>
      <c r="Y19" s="165"/>
      <c r="Z19" s="164">
        <v>1</v>
      </c>
      <c r="AA19" s="164" t="str">
        <f>IF(D21=$AA$15,$AC$19,IF(D21=$AA$16,$AC$31,IF(D21=$AA$17,$AC$43,"")))</f>
        <v>Automated Guideway Transit /Rubber Tire</v>
      </c>
      <c r="AB19" s="165"/>
      <c r="AC19" s="164" t="s">
        <v>160</v>
      </c>
      <c r="AD19" s="164">
        <v>78</v>
      </c>
      <c r="AE19" s="164" t="str">
        <f>IF(ISBLANK(IF($D$12=$AA$10,AG19,AI19)),"",IF($D$12=$AA$10,AG19,AI19))</f>
        <v>Avg. Number of vehicles/train</v>
      </c>
      <c r="AF19" s="164" t="str">
        <f>IF(ISBLANK(IF($D$12=$AA$10,AH19,AJ19)),"",IF($D$12=$AA$10,AH19,AJ19))</f>
        <v/>
      </c>
      <c r="AG19" s="164" t="s">
        <v>24</v>
      </c>
      <c r="AH19" s="165"/>
      <c r="AI19" s="164" t="s">
        <v>25</v>
      </c>
      <c r="AJ19" s="165"/>
      <c r="AK19" s="165"/>
      <c r="AL19" s="165"/>
      <c r="AM19" s="165"/>
      <c r="AN19" s="165"/>
      <c r="AO19" s="164" t="s">
        <v>55</v>
      </c>
      <c r="AP19" s="165"/>
      <c r="AQ19" s="165"/>
      <c r="AR19" s="165"/>
      <c r="AS19" s="165"/>
      <c r="AT19" s="165"/>
      <c r="AU19" s="167">
        <f>10^(LOG(50)+(AU4-AU5)/15)</f>
        <v>125.3838340326933</v>
      </c>
      <c r="AV19" s="167">
        <f>10^(LOG(50)+(AU4-AV6)/15)</f>
        <v>53.042364919099469</v>
      </c>
      <c r="AW19" s="165"/>
      <c r="AX19" s="165"/>
      <c r="AY19" s="165"/>
      <c r="AZ19" s="165">
        <f>50*10^(AZ6/15)</f>
        <v>125.38383403269337</v>
      </c>
      <c r="BA19" s="165"/>
      <c r="BB19" s="165"/>
      <c r="BC19" s="165"/>
      <c r="BD19" s="165"/>
    </row>
    <row r="20" spans="1:56" s="161" customFormat="1" ht="13.5" thickTop="1" x14ac:dyDescent="0.2">
      <c r="A20" s="62"/>
      <c r="B20" s="76" t="s">
        <v>103</v>
      </c>
      <c r="C20" s="107"/>
      <c r="D20" s="108" t="s">
        <v>98</v>
      </c>
      <c r="E20" s="66"/>
      <c r="F20" s="62"/>
      <c r="G20" s="62"/>
      <c r="H20" s="62"/>
      <c r="I20" s="62"/>
      <c r="J20" s="62"/>
      <c r="K20" s="62"/>
      <c r="L20" s="62"/>
      <c r="M20" s="62"/>
      <c r="N20" s="62"/>
      <c r="O20" s="62"/>
      <c r="P20" s="62"/>
      <c r="Q20" s="62"/>
      <c r="R20" s="62"/>
      <c r="X20" s="165"/>
      <c r="Y20" s="165"/>
      <c r="Z20" s="165"/>
      <c r="AA20" s="164" t="str">
        <f>IF(D$21=$AA$15,$AC$20,IF(D$21=$AA$16,$AC$32,IF(D$21=$AA$17,$AC$44,"")))</f>
        <v>Automated Guideway Transit /Steel Wheel</v>
      </c>
      <c r="AB20" s="165"/>
      <c r="AC20" s="164" t="s">
        <v>161</v>
      </c>
      <c r="AD20" s="164">
        <v>80</v>
      </c>
      <c r="AE20" s="164" t="str">
        <f t="shared" ref="AE20:AE42" si="0">IF(ISBLANK(IF($D$12=$AA$10,AG20,AI20)),"",IF($D$12=$AA$10,AG20,AI20))</f>
        <v>Avg. Number of vehicles/train</v>
      </c>
      <c r="AF20" s="164" t="str">
        <f t="shared" ref="AF20:AF53" si="1">IF(ISBLANK(IF($D$12=$AA$10,AH20,AJ20)),"",IF($D$12=$AA$10,AH20,AJ20))</f>
        <v/>
      </c>
      <c r="AG20" s="164" t="s">
        <v>24</v>
      </c>
      <c r="AH20" s="165"/>
      <c r="AI20" s="164" t="s">
        <v>25</v>
      </c>
      <c r="AJ20" s="165"/>
      <c r="AK20" s="165"/>
      <c r="AL20" s="165"/>
      <c r="AM20" s="165"/>
      <c r="AN20" s="165"/>
      <c r="AO20" s="164" t="s">
        <v>151</v>
      </c>
      <c r="AP20" s="165"/>
      <c r="AQ20" s="165"/>
      <c r="AR20" s="165"/>
      <c r="AS20" s="165"/>
      <c r="AT20" s="165"/>
      <c r="AU20" s="167">
        <f>10^(LOG(50)+(AW4-AV5)/25)</f>
        <v>91.908362419920493</v>
      </c>
      <c r="AV20" s="167">
        <f>10^(LOG(50)+(AW4-AV6)/25)</f>
        <v>54.850908865344202</v>
      </c>
      <c r="AW20" s="165"/>
      <c r="AX20" s="165"/>
      <c r="AY20" s="165"/>
      <c r="AZ20" s="165"/>
      <c r="BA20" s="165"/>
      <c r="BB20" s="165"/>
      <c r="BC20" s="165"/>
      <c r="BD20" s="165"/>
    </row>
    <row r="21" spans="1:56" s="161" customFormat="1" x14ac:dyDescent="0.2">
      <c r="A21" s="62"/>
      <c r="B21" s="109"/>
      <c r="C21" s="110" t="s">
        <v>73</v>
      </c>
      <c r="D21" s="111" t="s">
        <v>148</v>
      </c>
      <c r="E21" s="62"/>
      <c r="F21" s="62"/>
      <c r="G21" s="62"/>
      <c r="H21" s="62"/>
      <c r="I21" s="62"/>
      <c r="J21" s="62"/>
      <c r="K21" s="62"/>
      <c r="L21" s="62"/>
      <c r="M21" s="62"/>
      <c r="N21" s="62"/>
      <c r="O21" s="62"/>
      <c r="P21" s="62"/>
      <c r="Q21" s="62"/>
      <c r="R21" s="62"/>
      <c r="X21" s="165"/>
      <c r="Y21" s="165"/>
      <c r="Z21" s="165"/>
      <c r="AA21" s="164" t="str">
        <f>IF(D$21=$AA$15,$AC$21,IF(D$21=$AA$16,$AC$33,IF(D$21=$AA$17,$AC$45,"")))</f>
        <v>Diesel Electric Locomotive</v>
      </c>
      <c r="AB21" s="165"/>
      <c r="AC21" s="164" t="s">
        <v>125</v>
      </c>
      <c r="AD21" s="164">
        <v>92</v>
      </c>
      <c r="AE21" s="164" t="str">
        <f t="shared" si="0"/>
        <v>Avg. Number of Locos/train</v>
      </c>
      <c r="AF21" s="164" t="str">
        <f t="shared" si="1"/>
        <v/>
      </c>
      <c r="AG21" s="164" t="s">
        <v>163</v>
      </c>
      <c r="AH21" s="165"/>
      <c r="AI21" s="164" t="s">
        <v>164</v>
      </c>
      <c r="AJ21" s="165"/>
      <c r="AK21" s="165"/>
      <c r="AL21" s="165"/>
      <c r="AM21" s="165"/>
      <c r="AN21" s="165"/>
      <c r="AO21" s="164" t="s">
        <v>150</v>
      </c>
      <c r="AP21" s="165"/>
      <c r="AQ21" s="165"/>
      <c r="AR21" s="165"/>
      <c r="AS21" s="165"/>
      <c r="AT21" s="165"/>
      <c r="AU21" s="165"/>
      <c r="AV21" s="165"/>
      <c r="AW21" s="165"/>
      <c r="AX21" s="165"/>
      <c r="AY21" s="165"/>
      <c r="AZ21" s="165"/>
      <c r="BA21" s="165"/>
      <c r="BB21" s="165"/>
      <c r="BC21" s="165"/>
      <c r="BD21" s="165"/>
    </row>
    <row r="22" spans="1:56" s="161" customFormat="1" ht="13.5" thickBot="1" x14ac:dyDescent="0.25">
      <c r="A22" s="62"/>
      <c r="B22" s="112"/>
      <c r="C22" s="113" t="s">
        <v>74</v>
      </c>
      <c r="D22" s="114" t="s">
        <v>125</v>
      </c>
      <c r="E22" s="62"/>
      <c r="F22" s="62"/>
      <c r="G22" s="71" t="s">
        <v>82</v>
      </c>
      <c r="H22" s="62"/>
      <c r="I22" s="62"/>
      <c r="J22" s="62"/>
      <c r="K22" s="62"/>
      <c r="L22" s="62"/>
      <c r="M22" s="62"/>
      <c r="N22" s="62"/>
      <c r="O22" s="62"/>
      <c r="P22" s="62"/>
      <c r="Q22" s="62"/>
      <c r="R22" s="62"/>
      <c r="X22" s="165"/>
      <c r="Y22" s="165"/>
      <c r="Z22" s="165"/>
      <c r="AA22" s="164" t="str">
        <f>IF(D$21=$AA$15,$AC$22,IF(D$21=$AA$16,$AC$34,IF(D$21=$AA$17,$AC$46,"")))</f>
        <v>Diesel Multiple Unit (DMU)</v>
      </c>
      <c r="AB22" s="165"/>
      <c r="AC22" s="164" t="s">
        <v>126</v>
      </c>
      <c r="AD22" s="164">
        <v>85</v>
      </c>
      <c r="AE22" s="164" t="str">
        <f t="shared" si="0"/>
        <v>Avg. Number of DMU's/train</v>
      </c>
      <c r="AF22" s="164" t="str">
        <f t="shared" si="1"/>
        <v/>
      </c>
      <c r="AG22" s="164" t="s">
        <v>173</v>
      </c>
      <c r="AH22" s="165"/>
      <c r="AI22" s="164" t="s">
        <v>174</v>
      </c>
      <c r="AJ22" s="165"/>
      <c r="AK22" s="165"/>
      <c r="AL22" s="165"/>
      <c r="AM22" s="165"/>
      <c r="AN22" s="165"/>
      <c r="AO22" s="164" t="s">
        <v>116</v>
      </c>
      <c r="AP22" s="165"/>
      <c r="AQ22" s="165"/>
      <c r="AR22" s="165"/>
      <c r="AS22" s="165"/>
      <c r="AT22" s="165"/>
      <c r="AU22" s="167">
        <f>10^((AW4-AU5+10*LOG(50)+5*LOG(42))/15)</f>
        <v>130.12821504603841</v>
      </c>
      <c r="AV22" s="167">
        <f>10^((AW4-AU6+10*LOG(50)+5*LOG(42))/15)</f>
        <v>55.049427400212238</v>
      </c>
      <c r="AW22" s="165"/>
      <c r="AX22" s="165"/>
      <c r="AY22" s="165"/>
      <c r="AZ22" s="165"/>
      <c r="BA22" s="165"/>
      <c r="BB22" s="165"/>
      <c r="BC22" s="165"/>
      <c r="BD22" s="165"/>
    </row>
    <row r="23" spans="1:56" s="161" customFormat="1" ht="15" thickTop="1" x14ac:dyDescent="0.2">
      <c r="A23" s="62"/>
      <c r="B23" s="115" t="str">
        <f>IF(D12=AA10,"Daytime hrs","Noisiest hr of")</f>
        <v>Daytime hrs</v>
      </c>
      <c r="C23" s="110" t="str">
        <f>IF($D21=$AA$16,"",INDEX(Parameters,MATCH($D$22,$AC$19:$AC$52,0),3))</f>
        <v>Avg. Number of Locos/train</v>
      </c>
      <c r="D23" s="116">
        <v>1</v>
      </c>
      <c r="E23" s="62"/>
      <c r="F23" s="62"/>
      <c r="G23" s="117" t="str">
        <f>IF($D$12=$AA$10,"Leq(day):","Leqh:")</f>
        <v>Leq(day):</v>
      </c>
      <c r="H23" s="118">
        <f>IF(ISERROR(INDEX(LeqDay,MATCH($D22,$AK$33:$AK$59,0),2)),0,INDEX(LeqDay,MATCH($D22,$AK$33:$AK$59,0),2)+IF(Calculations!D21=Calculations!$AA$17,-25*LOG(Calculations!D31/50),-15*LOG(Calculations!D31/50))-MIN(10,IF(D32&gt;0,IF(D32=1,4.5,4.5+((D32-1)*1.5)),0)))</f>
        <v>57.340680443502755</v>
      </c>
      <c r="I23" s="62"/>
      <c r="J23" s="62"/>
      <c r="K23" s="62"/>
      <c r="L23" s="62"/>
      <c r="M23" s="62"/>
      <c r="N23" s="62"/>
      <c r="O23" s="62"/>
      <c r="P23" s="62"/>
      <c r="Q23" s="62"/>
      <c r="R23" s="62"/>
      <c r="X23" s="165"/>
      <c r="Y23" s="165"/>
      <c r="Z23" s="165"/>
      <c r="AA23" s="164" t="str">
        <f>IF(D$21=$AA$15,$AC$23,IF(D$21=$AA$16,$AC$42,IF(D$21=$AA$17,$AC$48,"")))</f>
        <v>Electric Locomotive</v>
      </c>
      <c r="AB23" s="165"/>
      <c r="AC23" s="164" t="s">
        <v>89</v>
      </c>
      <c r="AD23" s="164">
        <v>90</v>
      </c>
      <c r="AE23" s="164" t="str">
        <f t="shared" si="0"/>
        <v>Avg. Number of Locos/train</v>
      </c>
      <c r="AF23" s="164" t="str">
        <f t="shared" si="1"/>
        <v/>
      </c>
      <c r="AG23" s="164" t="s">
        <v>163</v>
      </c>
      <c r="AH23" s="165"/>
      <c r="AI23" s="164" t="s">
        <v>164</v>
      </c>
      <c r="AJ23" s="165"/>
      <c r="AK23" s="165"/>
      <c r="AL23" s="165"/>
      <c r="AM23" s="165"/>
      <c r="AN23" s="165"/>
      <c r="AO23" s="164" t="s">
        <v>142</v>
      </c>
      <c r="AP23" s="165"/>
      <c r="AQ23" s="165"/>
      <c r="AR23" s="165"/>
      <c r="AS23" s="165"/>
      <c r="AT23" s="165"/>
      <c r="AU23" s="167">
        <f>10^((AU4-AU5+10*LOG(50)+5*LOG(42))/15)</f>
        <v>118.30451180900907</v>
      </c>
      <c r="AV23" s="167">
        <f>10^((AU4-AU6+10*LOG(50)+5*LOG(42))/15)</f>
        <v>50.047529136117724</v>
      </c>
      <c r="AW23" s="165"/>
      <c r="AX23" s="165"/>
      <c r="AY23" s="165"/>
      <c r="AZ23" s="165"/>
      <c r="BA23" s="165"/>
      <c r="BB23" s="165"/>
      <c r="BC23" s="165"/>
      <c r="BD23" s="165"/>
    </row>
    <row r="24" spans="1:56" s="161" customFormat="1" ht="14.25" x14ac:dyDescent="0.2">
      <c r="A24" s="62"/>
      <c r="B24" s="115" t="str">
        <f>IF($D$12=$AA$10,"","Activity During")</f>
        <v/>
      </c>
      <c r="C24" s="119" t="str">
        <f>IF(D21=$AA$17,INDEX(Parameters,MATCH($D$22,$AC$19:$AC$52,0),4),"Speed (mph)")</f>
        <v>Speed (mph)</v>
      </c>
      <c r="D24" s="120">
        <v>40</v>
      </c>
      <c r="E24" s="62"/>
      <c r="F24" s="62"/>
      <c r="G24" s="121" t="str">
        <f>IF($D$12=$AA$10,"Leq(night):","")</f>
        <v>Leq(night):</v>
      </c>
      <c r="H24" s="122">
        <f>IF($D$12=$AA$10,IF(ISERROR(INDEX(LeqNight,MATCH($D22,$AK$33:$AK$59,0),2)),0,INDEX(LeqNight,MATCH($D22,$AK$33:$AK$59,0),2)+IF(Calculations!D21=Calculations!$AA$17,-25*LOG(Calculations!D31/50),-15*LOG(Calculations!D31/50))-MIN(10,IF(D32&gt;0,IF(D32=1,4.5,4.5+((D32-1)*1.5)),0))),"")</f>
        <v>51.32008053022313</v>
      </c>
      <c r="I24" s="62"/>
      <c r="J24" s="62"/>
      <c r="K24" s="62"/>
      <c r="L24" s="62"/>
      <c r="M24" s="62"/>
      <c r="N24" s="62"/>
      <c r="O24" s="62"/>
      <c r="P24" s="62"/>
      <c r="Q24" s="62"/>
      <c r="R24" s="62"/>
      <c r="X24" s="165"/>
      <c r="Y24" s="165"/>
      <c r="Z24" s="165"/>
      <c r="AA24" s="164" t="str">
        <f>IF(D$21=$AA$15,$AC$24,IF(D$21=$AA$16,$AC$35,IF(D$21=$AA$17,$AC$49,"")))</f>
        <v>Locomotive Warning Horn</v>
      </c>
      <c r="AB24" s="165"/>
      <c r="AC24" s="164" t="s">
        <v>55</v>
      </c>
      <c r="AD24" s="164">
        <v>110</v>
      </c>
      <c r="AE24" s="164" t="str">
        <f t="shared" si="0"/>
        <v/>
      </c>
      <c r="AF24" s="164" t="str">
        <f t="shared" si="1"/>
        <v/>
      </c>
      <c r="AG24" s="169" t="s">
        <v>99</v>
      </c>
      <c r="AH24" s="165"/>
      <c r="AI24" s="169" t="s">
        <v>99</v>
      </c>
      <c r="AJ24" s="165"/>
      <c r="AK24" s="165"/>
      <c r="AL24" s="165"/>
      <c r="AM24" s="165"/>
      <c r="AN24" s="165"/>
      <c r="AO24" s="164" t="s">
        <v>124</v>
      </c>
      <c r="AP24" s="164" t="s">
        <v>110</v>
      </c>
      <c r="AQ24" s="167" t="s">
        <v>109</v>
      </c>
      <c r="AR24" s="167" t="s">
        <v>111</v>
      </c>
      <c r="AS24" s="165"/>
      <c r="AT24" s="165"/>
      <c r="AU24" s="165"/>
      <c r="AV24" s="165"/>
      <c r="AW24" s="165"/>
      <c r="AX24" s="165"/>
      <c r="AY24" s="165"/>
      <c r="AZ24" s="165"/>
      <c r="BA24" s="165"/>
      <c r="BB24" s="165"/>
      <c r="BC24" s="165"/>
      <c r="BD24" s="165"/>
    </row>
    <row r="25" spans="1:56" s="161" customFormat="1" ht="15" thickBot="1" x14ac:dyDescent="0.25">
      <c r="A25" s="62"/>
      <c r="B25" s="123" t="str">
        <f>IF($D$12=$AA$10,"","Sensitive hrs")</f>
        <v/>
      </c>
      <c r="C25" s="119" t="str">
        <f>IF($D$12=$AA$10,IF($D21=$AA$15,"Avg. Number of Events/hr",IF($D21=$AA$16,"Avg. Number of Events/hr","")),IF($D21=$AA$15,"Number of Events/hr",IF($D21=$AA$16,"Number of Events/hr","")))</f>
        <v>Avg. Number of Events/hr</v>
      </c>
      <c r="D25" s="120">
        <v>2.8</v>
      </c>
      <c r="E25" s="62"/>
      <c r="F25" s="62"/>
      <c r="G25" s="124" t="str">
        <f>IF($D$12=$AA$10,"Ldn:","")</f>
        <v>Ldn:</v>
      </c>
      <c r="H25" s="125">
        <f>IF($D$12=$AA$10,10*LOG(15*10^(H23/10)+9*10^((H24+10)/10))-13.8,"")</f>
        <v>59.280993120779939</v>
      </c>
      <c r="I25" s="62"/>
      <c r="J25" s="62"/>
      <c r="K25" s="62"/>
      <c r="L25" s="62"/>
      <c r="M25" s="62"/>
      <c r="N25" s="62"/>
      <c r="O25" s="62"/>
      <c r="P25" s="62"/>
      <c r="Q25" s="62"/>
      <c r="R25" s="62"/>
      <c r="X25" s="165"/>
      <c r="Y25" s="165"/>
      <c r="Z25" s="165"/>
      <c r="AA25" s="164" t="str">
        <f>IF(D$21=$AA$15,$AC$25,IF(D$21=$AA$16,$AC$38,IF(D$21=$AA$17,$AC$47,"")))</f>
        <v>Monorail</v>
      </c>
      <c r="AB25" s="165"/>
      <c r="AC25" s="164" t="s">
        <v>150</v>
      </c>
      <c r="AD25" s="164">
        <v>82</v>
      </c>
      <c r="AE25" s="164" t="str">
        <f t="shared" si="0"/>
        <v>Avg. Number of Vehicles/train</v>
      </c>
      <c r="AF25" s="164" t="str">
        <f t="shared" si="1"/>
        <v/>
      </c>
      <c r="AG25" s="164" t="s">
        <v>7</v>
      </c>
      <c r="AH25" s="165"/>
      <c r="AI25" s="164" t="s">
        <v>8</v>
      </c>
      <c r="AJ25" s="165"/>
      <c r="AK25" s="165"/>
      <c r="AL25" s="165"/>
      <c r="AM25" s="165"/>
      <c r="AN25" s="165"/>
      <c r="AO25" s="164" t="s">
        <v>54</v>
      </c>
      <c r="AP25" s="165"/>
      <c r="AQ25" s="165"/>
      <c r="AR25" s="165"/>
      <c r="AS25" s="165"/>
      <c r="AT25" s="167" t="s">
        <v>63</v>
      </c>
      <c r="AU25" s="167" t="s">
        <v>178</v>
      </c>
      <c r="AV25" s="165"/>
      <c r="AW25" s="165"/>
      <c r="AX25" s="165"/>
      <c r="AY25" s="165"/>
      <c r="AZ25" s="165"/>
      <c r="BA25" s="165"/>
      <c r="BB25" s="165"/>
      <c r="BC25" s="165"/>
      <c r="BD25" s="165"/>
    </row>
    <row r="26" spans="1:56" s="161" customFormat="1" ht="13.5" thickTop="1" x14ac:dyDescent="0.2">
      <c r="A26" s="62"/>
      <c r="B26" s="126"/>
      <c r="C26" s="113"/>
      <c r="D26" s="147"/>
      <c r="E26" s="62"/>
      <c r="F26" s="62"/>
      <c r="G26" s="62"/>
      <c r="H26" s="62"/>
      <c r="I26" s="62"/>
      <c r="J26" s="62"/>
      <c r="K26" s="62"/>
      <c r="L26" s="62"/>
      <c r="M26" s="62"/>
      <c r="N26" s="62"/>
      <c r="O26" s="62"/>
      <c r="P26" s="62"/>
      <c r="Q26" s="62"/>
      <c r="R26" s="62"/>
      <c r="X26" s="165"/>
      <c r="Y26" s="165"/>
      <c r="Z26" s="165"/>
      <c r="AA26" s="164" t="str">
        <f>IF(D$21=$AA$15,$AC$26,IF(D$21=$AA$16,$AC$39,IF(D$21=$AA$17,$AC$50,"")))</f>
        <v>Maglev</v>
      </c>
      <c r="AB26" s="165"/>
      <c r="AC26" s="164" t="s">
        <v>151</v>
      </c>
      <c r="AD26" s="164">
        <v>72</v>
      </c>
      <c r="AE26" s="164" t="str">
        <f t="shared" si="0"/>
        <v>Avg. Number of Vehicles/train</v>
      </c>
      <c r="AF26" s="164" t="str">
        <f t="shared" si="1"/>
        <v/>
      </c>
      <c r="AG26" s="164" t="s">
        <v>7</v>
      </c>
      <c r="AH26" s="165"/>
      <c r="AI26" s="164" t="s">
        <v>8</v>
      </c>
      <c r="AJ26" s="165"/>
      <c r="AK26" s="165"/>
      <c r="AL26" s="165"/>
      <c r="AM26" s="165"/>
      <c r="AN26" s="165"/>
      <c r="AO26" s="164" t="s">
        <v>120</v>
      </c>
      <c r="AP26" s="164" t="s">
        <v>110</v>
      </c>
      <c r="AQ26" s="167" t="s">
        <v>109</v>
      </c>
      <c r="AR26" s="167" t="s">
        <v>111</v>
      </c>
      <c r="AS26" s="165"/>
      <c r="AT26" s="167" t="s">
        <v>64</v>
      </c>
      <c r="AU26" s="167" t="s">
        <v>65</v>
      </c>
      <c r="AV26" s="165"/>
      <c r="AW26" s="165"/>
      <c r="AX26" s="165"/>
      <c r="AY26" s="165"/>
      <c r="AZ26" s="165"/>
      <c r="BA26" s="165"/>
      <c r="BB26" s="165"/>
      <c r="BC26" s="165"/>
      <c r="BD26" s="165"/>
    </row>
    <row r="27" spans="1:56" s="161" customFormat="1" x14ac:dyDescent="0.2">
      <c r="A27" s="62"/>
      <c r="B27" s="115" t="str">
        <f>IF($D$12=$AA$10,"Nighttime hrs","")</f>
        <v>Nighttime hrs</v>
      </c>
      <c r="C27" s="110" t="str">
        <f>IF($D$12=$AA$10,IF(D21=$AA$16,"",INDEX(Parameters,MATCH($D22,$AC$19:$AC$52,0),3)),"")</f>
        <v>Avg. Number of Locos/train</v>
      </c>
      <c r="D27" s="116">
        <v>1</v>
      </c>
      <c r="E27" s="62"/>
      <c r="F27" s="62"/>
      <c r="G27" s="62"/>
      <c r="H27" s="62"/>
      <c r="I27" s="62"/>
      <c r="J27" s="62"/>
      <c r="K27" s="62"/>
      <c r="L27" s="62"/>
      <c r="M27" s="62"/>
      <c r="N27" s="62"/>
      <c r="O27" s="62"/>
      <c r="P27" s="62"/>
      <c r="Q27" s="62"/>
      <c r="R27" s="62"/>
      <c r="X27" s="165"/>
      <c r="Y27" s="165"/>
      <c r="Z27" s="165"/>
      <c r="AA27" s="164" t="str">
        <f>IF(D$21=$AA$15,$AC$27,IF(D$21=$AA$16,$AC$40,IF(D$21=$AA$17,$AC$51,"")))</f>
        <v>Rail Car</v>
      </c>
      <c r="AB27" s="165"/>
      <c r="AC27" s="164" t="s">
        <v>124</v>
      </c>
      <c r="AD27" s="164">
        <v>82</v>
      </c>
      <c r="AE27" s="164" t="str">
        <f t="shared" si="0"/>
        <v>Avg. Number of Rail Cars/train</v>
      </c>
      <c r="AF27" s="164" t="str">
        <f t="shared" si="1"/>
        <v/>
      </c>
      <c r="AG27" s="164" t="s">
        <v>32</v>
      </c>
      <c r="AH27" s="165"/>
      <c r="AI27" s="164" t="s">
        <v>33</v>
      </c>
      <c r="AJ27" s="165"/>
      <c r="AK27" s="165"/>
      <c r="AL27" s="165"/>
      <c r="AM27" s="165"/>
      <c r="AN27" s="165"/>
      <c r="AO27" s="164" t="s">
        <v>149</v>
      </c>
      <c r="AP27" s="165"/>
      <c r="AQ27" s="165"/>
      <c r="AR27" s="165"/>
      <c r="AS27" s="165"/>
      <c r="AT27" s="165"/>
      <c r="AU27" s="165"/>
      <c r="AV27" s="165"/>
      <c r="AW27" s="165"/>
      <c r="AX27" s="165"/>
      <c r="AY27" s="165"/>
      <c r="AZ27" s="165"/>
      <c r="BA27" s="165"/>
      <c r="BB27" s="165"/>
      <c r="BC27" s="165"/>
      <c r="BD27" s="165"/>
    </row>
    <row r="28" spans="1:56" s="161" customFormat="1" ht="17.100000000000001" customHeight="1" x14ac:dyDescent="0.2">
      <c r="A28" s="62"/>
      <c r="B28" s="115"/>
      <c r="C28" s="119" t="str">
        <f>IF($D$12=$AA$10,IF($D21=$AA$15,"Speed (mph)",IF($D21=$AA$16,"Speed (mph)",IF($D21=$AA$17,INDEX($AF$43:$AF$52,MATCH(D22,$AC$43:$AC$52,0)),""))),"")</f>
        <v>Speed (mph)</v>
      </c>
      <c r="D28" s="120">
        <v>40</v>
      </c>
      <c r="E28" s="62"/>
      <c r="F28" s="62"/>
      <c r="G28" s="92"/>
      <c r="H28" s="155"/>
      <c r="I28" s="62"/>
      <c r="J28" s="62"/>
      <c r="K28" s="62"/>
      <c r="L28" s="62"/>
      <c r="M28" s="62"/>
      <c r="N28" s="62"/>
      <c r="O28" s="62"/>
      <c r="P28" s="62"/>
      <c r="Q28" s="62"/>
      <c r="R28" s="62"/>
      <c r="X28" s="165"/>
      <c r="Y28" s="165"/>
      <c r="Z28" s="165"/>
      <c r="AA28" s="164" t="str">
        <f>IF(D$21=$AA$15,$AC$28,IF(D$21=$AA$16,$AC$41,IF(D$21=$AA$17,$AC$52,"")))</f>
        <v>Rail Transit Vehicle/Streetcar &lt;= 25 mph</v>
      </c>
      <c r="AB28" s="165"/>
      <c r="AC28" s="164" t="s">
        <v>175</v>
      </c>
      <c r="AD28" s="164">
        <v>76</v>
      </c>
      <c r="AE28" s="164" t="str">
        <f t="shared" si="0"/>
        <v>Avg. Number of Transit Vehicles/train</v>
      </c>
      <c r="AF28" s="164" t="str">
        <f t="shared" si="1"/>
        <v/>
      </c>
      <c r="AG28" s="164" t="s">
        <v>34</v>
      </c>
      <c r="AH28" s="165"/>
      <c r="AI28" s="164" t="s">
        <v>35</v>
      </c>
      <c r="AJ28" s="165"/>
      <c r="AK28" s="165"/>
      <c r="AL28" s="165"/>
      <c r="AM28" s="165"/>
      <c r="AN28" s="165"/>
      <c r="AO28" s="165"/>
      <c r="AP28" s="165"/>
      <c r="AQ28" s="165"/>
      <c r="AR28" s="165"/>
      <c r="AS28" s="165"/>
      <c r="AT28" s="165"/>
      <c r="AU28" s="165"/>
      <c r="AV28" s="165"/>
      <c r="AW28" s="165"/>
      <c r="AX28" s="165"/>
      <c r="AY28" s="165"/>
      <c r="AZ28" s="165"/>
      <c r="BA28" s="165"/>
      <c r="BB28" s="165"/>
      <c r="BC28" s="165"/>
      <c r="BD28" s="165"/>
    </row>
    <row r="29" spans="1:56" s="161" customFormat="1" ht="14.25" x14ac:dyDescent="0.2">
      <c r="A29" s="62"/>
      <c r="B29" s="115"/>
      <c r="C29" s="119" t="str">
        <f>IF($D$12=$AA$10,IF($D21=$AA$15,"Avg. Number of Events/hr",IF($D21=$AA$16,"Avg. Number of Events/hr","")),"")</f>
        <v>Avg. Number of Events/hr</v>
      </c>
      <c r="D29" s="120">
        <v>0.7</v>
      </c>
      <c r="E29" s="62"/>
      <c r="F29" s="62"/>
      <c r="G29" s="62"/>
      <c r="H29" s="93"/>
      <c r="I29" s="62"/>
      <c r="J29" s="62"/>
      <c r="K29" s="62"/>
      <c r="L29" s="62"/>
      <c r="M29" s="62"/>
      <c r="N29" s="62"/>
      <c r="O29" s="62"/>
      <c r="P29" s="62"/>
      <c r="Q29" s="62"/>
      <c r="R29" s="62"/>
      <c r="X29" s="165"/>
      <c r="Y29" s="165"/>
      <c r="Z29" s="165"/>
      <c r="AA29" s="164" t="str">
        <f>IF(D$21=$AA$15,$AC$29,IF(D$21=$AA$16,$AC$42,IF(D$21=$AA$17,$AC$53,"")))</f>
        <v>Rail Transit Vehicle/Streetcar &gt; 25 mph</v>
      </c>
      <c r="AB29" s="165"/>
      <c r="AC29" s="169" t="s">
        <v>177</v>
      </c>
      <c r="AD29" s="164">
        <v>82</v>
      </c>
      <c r="AE29" s="164" t="str">
        <f t="shared" si="0"/>
        <v>Avg. Number of Transit Vehicles/train</v>
      </c>
      <c r="AF29" s="164" t="str">
        <f t="shared" si="1"/>
        <v/>
      </c>
      <c r="AG29" s="169" t="s">
        <v>34</v>
      </c>
      <c r="AH29" s="165"/>
      <c r="AI29" s="169" t="s">
        <v>35</v>
      </c>
      <c r="AJ29" s="165"/>
      <c r="AK29" s="165"/>
      <c r="AL29" s="165"/>
      <c r="AM29" s="165"/>
      <c r="AN29" s="165"/>
      <c r="AO29" s="165"/>
      <c r="AP29" s="165"/>
      <c r="AQ29" s="165"/>
      <c r="AR29" s="165"/>
      <c r="AS29" s="165"/>
      <c r="AT29" s="165"/>
      <c r="AU29" s="165"/>
      <c r="AV29" s="165"/>
      <c r="AW29" s="165"/>
      <c r="AX29" s="165"/>
      <c r="AY29" s="165"/>
      <c r="AZ29" s="165"/>
      <c r="BA29" s="165"/>
      <c r="BB29" s="165"/>
      <c r="BC29" s="165"/>
      <c r="BD29" s="165"/>
    </row>
    <row r="30" spans="1:56" s="161" customFormat="1" ht="14.25" x14ac:dyDescent="0.2">
      <c r="A30" s="62"/>
      <c r="B30" s="126"/>
      <c r="C30" s="113"/>
      <c r="D30" s="147"/>
      <c r="E30" s="62"/>
      <c r="F30" s="62"/>
      <c r="G30" s="92"/>
      <c r="H30" s="93"/>
      <c r="I30" s="62"/>
      <c r="J30" s="62"/>
      <c r="K30" s="59"/>
      <c r="L30" s="59"/>
      <c r="M30" s="59"/>
      <c r="N30" s="62"/>
      <c r="O30" s="62"/>
      <c r="P30" s="62"/>
      <c r="Q30" s="62"/>
      <c r="R30" s="62"/>
      <c r="X30" s="165"/>
      <c r="Y30" s="165"/>
      <c r="Z30" s="165"/>
      <c r="AA30" s="164" t="str">
        <f>IF(D$21=$AA$15,$AC$30,IF(D$21=$AA$16,$AC$36,IF(D$21=$AA$17,$AC$53,"")))</f>
        <v>Transit warning device</v>
      </c>
      <c r="AB30" s="165"/>
      <c r="AC30" s="164" t="s">
        <v>149</v>
      </c>
      <c r="AD30" s="165">
        <v>93</v>
      </c>
      <c r="AE30" s="164" t="str">
        <f t="shared" si="0"/>
        <v/>
      </c>
      <c r="AF30" s="164" t="str">
        <f t="shared" si="1"/>
        <v/>
      </c>
      <c r="AG30" s="169" t="s">
        <v>99</v>
      </c>
      <c r="AH30" s="165"/>
      <c r="AI30" s="169" t="s">
        <v>99</v>
      </c>
      <c r="AJ30" s="165"/>
      <c r="AK30" s="165"/>
      <c r="AL30" s="165"/>
      <c r="AM30" s="165"/>
      <c r="AN30" s="165"/>
      <c r="AO30" s="165"/>
      <c r="AP30" s="165"/>
      <c r="AQ30" s="165"/>
      <c r="AR30" s="165"/>
      <c r="AS30" s="165"/>
      <c r="AT30" s="165"/>
      <c r="AU30" s="165"/>
      <c r="AV30" s="165"/>
      <c r="AW30" s="165"/>
      <c r="AX30" s="165"/>
      <c r="AY30" s="165"/>
      <c r="AZ30" s="165"/>
      <c r="BA30" s="165"/>
      <c r="BB30" s="165"/>
      <c r="BC30" s="165"/>
      <c r="BD30" s="165"/>
    </row>
    <row r="31" spans="1:56" s="161" customFormat="1" ht="14.25" x14ac:dyDescent="0.2">
      <c r="A31" s="62"/>
      <c r="B31" s="127" t="s">
        <v>19</v>
      </c>
      <c r="C31" s="128" t="s">
        <v>1</v>
      </c>
      <c r="D31" s="129">
        <v>50</v>
      </c>
      <c r="E31" s="62"/>
      <c r="F31" s="62"/>
      <c r="G31" s="62"/>
      <c r="H31" s="93"/>
      <c r="I31" s="62"/>
      <c r="J31" s="62"/>
      <c r="K31" s="61"/>
      <c r="L31" s="61"/>
      <c r="M31" s="61"/>
      <c r="N31" s="62"/>
      <c r="O31" s="62"/>
      <c r="P31" s="62"/>
      <c r="Q31" s="62"/>
      <c r="R31" s="62"/>
      <c r="X31" s="165"/>
      <c r="Y31" s="165"/>
      <c r="Z31" s="165"/>
      <c r="AA31" s="165"/>
      <c r="AB31" s="165"/>
      <c r="AC31" s="164" t="s">
        <v>152</v>
      </c>
      <c r="AD31" s="164">
        <v>74</v>
      </c>
      <c r="AE31" s="164" t="str">
        <f t="shared" si="0"/>
        <v/>
      </c>
      <c r="AF31" s="164" t="str">
        <f t="shared" si="1"/>
        <v/>
      </c>
      <c r="AG31" s="165"/>
      <c r="AH31" s="165"/>
      <c r="AI31" s="165"/>
      <c r="AJ31" s="165"/>
      <c r="AK31" s="164" t="s">
        <v>51</v>
      </c>
      <c r="AL31" s="165"/>
      <c r="AM31" s="165"/>
      <c r="AN31" s="164" t="s">
        <v>90</v>
      </c>
      <c r="AO31" s="165"/>
      <c r="AP31" s="165"/>
      <c r="AQ31" s="167" t="s">
        <v>91</v>
      </c>
      <c r="AR31" s="165"/>
      <c r="AS31" s="165"/>
      <c r="AT31" s="167" t="s">
        <v>92</v>
      </c>
      <c r="AU31" s="165"/>
      <c r="AV31" s="165"/>
      <c r="AW31" s="167" t="s">
        <v>93</v>
      </c>
      <c r="AX31" s="165"/>
      <c r="AY31" s="165"/>
      <c r="AZ31" s="167" t="s">
        <v>94</v>
      </c>
      <c r="BA31" s="165"/>
      <c r="BB31" s="165"/>
      <c r="BC31" s="165"/>
      <c r="BD31" s="165"/>
    </row>
    <row r="32" spans="1:56" s="161" customFormat="1" x14ac:dyDescent="0.2">
      <c r="A32" s="62"/>
      <c r="B32" s="130"/>
      <c r="C32" s="131" t="s">
        <v>0</v>
      </c>
      <c r="D32" s="132">
        <v>1</v>
      </c>
      <c r="E32" s="62"/>
      <c r="F32" s="62"/>
      <c r="G32" s="62"/>
      <c r="H32" s="62"/>
      <c r="I32" s="62"/>
      <c r="J32" s="62"/>
      <c r="K32" s="61"/>
      <c r="L32" s="61"/>
      <c r="M32" s="61"/>
      <c r="N32" s="62"/>
      <c r="O32" s="62"/>
      <c r="P32" s="62"/>
      <c r="Q32" s="62"/>
      <c r="R32" s="62"/>
      <c r="X32" s="165"/>
      <c r="Y32" s="165"/>
      <c r="Z32" s="164">
        <v>2</v>
      </c>
      <c r="AA32" s="164" t="str">
        <f>IF(D$39=$AA$15,AC19,IF(D$39=$AA$16,AC31,IF(D$39=$AA$17,AC43,"")))</f>
        <v>Automated Guideway Transit /Rubber Tire</v>
      </c>
      <c r="AB32" s="165"/>
      <c r="AC32" s="164" t="s">
        <v>153</v>
      </c>
      <c r="AD32" s="164">
        <v>82</v>
      </c>
      <c r="AE32" s="164" t="str">
        <f t="shared" si="0"/>
        <v/>
      </c>
      <c r="AF32" s="164" t="str">
        <f t="shared" si="1"/>
        <v/>
      </c>
      <c r="AG32" s="165"/>
      <c r="AH32" s="165"/>
      <c r="AI32" s="165"/>
      <c r="AJ32" s="165"/>
      <c r="AK32" s="165"/>
      <c r="AL32" s="165"/>
      <c r="AM32" s="165"/>
      <c r="AN32" s="164" t="s">
        <v>146</v>
      </c>
      <c r="AO32" s="165"/>
      <c r="AP32" s="165"/>
      <c r="AQ32" s="167" t="s">
        <v>146</v>
      </c>
      <c r="AR32" s="165"/>
      <c r="AS32" s="165"/>
      <c r="AT32" s="167" t="s">
        <v>146</v>
      </c>
      <c r="AU32" s="165"/>
      <c r="AV32" s="165"/>
      <c r="AW32" s="165"/>
      <c r="AX32" s="165"/>
      <c r="AY32" s="165"/>
      <c r="AZ32" s="165"/>
      <c r="BA32" s="165"/>
      <c r="BB32" s="165"/>
      <c r="BC32" s="165"/>
      <c r="BD32" s="165"/>
    </row>
    <row r="33" spans="1:56" s="161" customFormat="1" ht="14.25" x14ac:dyDescent="0.2">
      <c r="A33" s="62"/>
      <c r="B33" s="115" t="s">
        <v>102</v>
      </c>
      <c r="C33" s="133" t="str">
        <f>IF(ISNUMBER(MATCH($D21,$AA$16:$AA$17,0)),"Noise Barrier?",IF(ISNUMBER(MATCH($D22,$AC$9:$AC$14,0)),"Noise Barrier?",""))</f>
        <v/>
      </c>
      <c r="D33" s="134"/>
      <c r="E33" s="62"/>
      <c r="F33" s="62"/>
      <c r="G33" s="92"/>
      <c r="H33" s="93"/>
      <c r="I33" s="62"/>
      <c r="J33" s="62"/>
      <c r="K33" s="61"/>
      <c r="L33" s="61"/>
      <c r="M33" s="61"/>
      <c r="N33" s="62"/>
      <c r="O33" s="62"/>
      <c r="P33" s="62"/>
      <c r="Q33" s="62"/>
      <c r="R33" s="62"/>
      <c r="X33" s="165"/>
      <c r="Y33" s="165"/>
      <c r="Z33" s="165"/>
      <c r="AA33" s="164" t="str">
        <f>IF(D$39=$AA$15,AC20,IF(D$39=$AA$16,AC32,IF(D$39=$AA$17,AC44,"")))</f>
        <v>Automated Guideway Transit /Steel Wheel</v>
      </c>
      <c r="AB33" s="165"/>
      <c r="AC33" s="164" t="s">
        <v>154</v>
      </c>
      <c r="AD33" s="164">
        <v>80</v>
      </c>
      <c r="AE33" s="164" t="str">
        <f t="shared" si="0"/>
        <v/>
      </c>
      <c r="AF33" s="164" t="str">
        <f t="shared" si="1"/>
        <v/>
      </c>
      <c r="AG33" s="165"/>
      <c r="AH33" s="165"/>
      <c r="AI33" s="165"/>
      <c r="AJ33" s="165"/>
      <c r="AK33" s="164" t="s">
        <v>169</v>
      </c>
      <c r="AL33" s="170">
        <f>$AD$19+10*LOG(D23)+20*LOG(D24/50)+10*LOG(D25)-35.6+IF(D33="Yes",-5)</f>
        <v>44.933380053261068</v>
      </c>
      <c r="AM33" s="165"/>
      <c r="AN33" s="164" t="s">
        <v>169</v>
      </c>
      <c r="AO33" s="170">
        <f>$AD$19+10*LOG(D41)+20*LOG(D42/50)+10*LOG(D43)-35.6+IF(D51="Yes",-5)</f>
        <v>49.704592600457694</v>
      </c>
      <c r="AP33" s="170"/>
      <c r="AQ33" s="164" t="s">
        <v>169</v>
      </c>
      <c r="AR33" s="171" t="e">
        <f>$AD$19+10*LOG(D59)+20*LOG(D60/50)+10*LOG(D61)-35.6+IF(D69="Yes",-5)</f>
        <v>#NUM!</v>
      </c>
      <c r="AS33" s="165"/>
      <c r="AT33" s="164" t="s">
        <v>169</v>
      </c>
      <c r="AU33" s="171" t="e">
        <f>$AD$19+10*LOG(D77)+20*LOG(D78/50)+10*LOG(D79)-35.6+IF(D87="Yes",-5)</f>
        <v>#NUM!</v>
      </c>
      <c r="AV33" s="165"/>
      <c r="AW33" s="164" t="s">
        <v>169</v>
      </c>
      <c r="AX33" s="171" t="e">
        <f>$AD$19+10*LOG(D95)+20*LOG(D96/50)+10*LOG(D97)-35.6+IF(D105="Yes",-5)</f>
        <v>#NUM!</v>
      </c>
      <c r="AY33" s="165"/>
      <c r="AZ33" s="164" t="s">
        <v>169</v>
      </c>
      <c r="BA33" s="171" t="e">
        <f>$AD$19+10*LOG(D113)+20*LOG(D114/50)+10*LOG(D115)-35.6+IF(D123="Yes",-5)</f>
        <v>#NUM!</v>
      </c>
      <c r="BB33" s="165"/>
      <c r="BC33" s="165"/>
      <c r="BD33" s="165"/>
    </row>
    <row r="34" spans="1:56" s="161" customFormat="1" x14ac:dyDescent="0.2">
      <c r="A34" s="62"/>
      <c r="B34" s="115"/>
      <c r="C34" s="119" t="str">
        <f>IF(ISNUMBER(MATCH(D22,$AC$27:$AC$29,0)),IF(D31&lt;=300,"Joint Track/Crossover?",""),"")</f>
        <v/>
      </c>
      <c r="D34" s="135"/>
      <c r="E34" s="62"/>
      <c r="F34" s="62"/>
      <c r="G34" s="62"/>
      <c r="H34" s="62"/>
      <c r="I34" s="60"/>
      <c r="J34" s="136"/>
      <c r="K34" s="61"/>
      <c r="L34" s="61"/>
      <c r="M34" s="61"/>
      <c r="N34" s="61"/>
      <c r="O34" s="61"/>
      <c r="P34" s="61"/>
      <c r="Q34" s="61"/>
      <c r="R34" s="61"/>
      <c r="S34" s="171"/>
      <c r="T34" s="171"/>
      <c r="U34" s="171"/>
      <c r="V34" s="171"/>
      <c r="X34" s="165"/>
      <c r="Y34" s="165"/>
      <c r="Z34" s="165"/>
      <c r="AA34" s="164" t="str">
        <f>IF(D$39=$AA$15,AC21,IF(D$39=$AA$16,AC33,IF(D$39=$AA$17,AC45,"")))</f>
        <v>Diesel Electric Locomotive</v>
      </c>
      <c r="AB34" s="165"/>
      <c r="AC34" s="164" t="s">
        <v>155</v>
      </c>
      <c r="AD34" s="164">
        <v>83</v>
      </c>
      <c r="AE34" s="164" t="str">
        <f t="shared" si="0"/>
        <v/>
      </c>
      <c r="AF34" s="164" t="str">
        <f t="shared" si="1"/>
        <v/>
      </c>
      <c r="AG34" s="165"/>
      <c r="AH34" s="165"/>
      <c r="AI34" s="165"/>
      <c r="AJ34" s="165"/>
      <c r="AK34" s="164" t="s">
        <v>170</v>
      </c>
      <c r="AL34" s="170">
        <f>$AD$20+10*LOG(D23)+20*LOG(D24/50)+10*LOG(D25)-35.6+IF(D33="Yes",-5)</f>
        <v>46.933380053261068</v>
      </c>
      <c r="AM34" s="165"/>
      <c r="AN34" s="164" t="s">
        <v>170</v>
      </c>
      <c r="AO34" s="170">
        <f>$AD$20+10*LOG(D41)+20*LOG(D42/50)+10*LOG(D43)-35.6+IF(D51="Yes",-5)</f>
        <v>51.704592600457694</v>
      </c>
      <c r="AP34" s="170"/>
      <c r="AQ34" s="164" t="s">
        <v>170</v>
      </c>
      <c r="AR34" s="171" t="e">
        <f>$AD$20+10*LOG(D59)+20*LOG(D60/50)+10*LOG(D61)-35.6+IF(D69="Yes",-5)</f>
        <v>#NUM!</v>
      </c>
      <c r="AS34" s="165"/>
      <c r="AT34" s="164" t="s">
        <v>170</v>
      </c>
      <c r="AU34" s="171" t="e">
        <f>$AD$20+10*LOG(D77)+20*LOG(D78/50)+10*LOG(D79)-35.6+IF(D87="Yes",-5)</f>
        <v>#NUM!</v>
      </c>
      <c r="AV34" s="165"/>
      <c r="AW34" s="164" t="s">
        <v>170</v>
      </c>
      <c r="AX34" s="171" t="e">
        <f>$AD$20+10*LOG(D95)+20*LOG(D96/50)+10*LOG(D97)-35.6+IF(D105="Yes",-5)</f>
        <v>#NUM!</v>
      </c>
      <c r="AY34" s="165"/>
      <c r="AZ34" s="164" t="s">
        <v>170</v>
      </c>
      <c r="BA34" s="171" t="e">
        <f>$AD$20+10*LOG(D113)+20*LOG(D114/50)+10*LOG(D115)-35.6+IF(D123="Yes",-5)</f>
        <v>#NUM!</v>
      </c>
      <c r="BB34" s="165"/>
      <c r="BC34" s="165"/>
      <c r="BD34" s="165"/>
    </row>
    <row r="35" spans="1:56" s="161" customFormat="1" x14ac:dyDescent="0.2">
      <c r="A35" s="62"/>
      <c r="B35" s="115"/>
      <c r="C35" s="119" t="str">
        <f>IF(ISNUMBER(MATCH(D22,$AC$27:$AC$29,0)),"Embedded Track?","")</f>
        <v/>
      </c>
      <c r="D35" s="135"/>
      <c r="E35" s="62"/>
      <c r="F35" s="62"/>
      <c r="G35" s="137"/>
      <c r="H35" s="62"/>
      <c r="I35" s="62"/>
      <c r="J35" s="62"/>
      <c r="K35" s="62"/>
      <c r="L35" s="62"/>
      <c r="M35" s="62"/>
      <c r="N35" s="62"/>
      <c r="O35" s="62"/>
      <c r="P35" s="62"/>
      <c r="Q35" s="62"/>
      <c r="R35" s="62"/>
      <c r="X35" s="165"/>
      <c r="Y35" s="165"/>
      <c r="Z35" s="165"/>
      <c r="AA35" s="164" t="str">
        <f>IF(D$39=$AA$15,AC22,IF(D$39=$AA$16,AC34,IF(D$39=$AA$17,AC46,"")))</f>
        <v>Diesel Multiple Unit (DMU)</v>
      </c>
      <c r="AB35" s="165"/>
      <c r="AC35" s="172" t="s">
        <v>101</v>
      </c>
      <c r="AE35" s="164" t="str">
        <f t="shared" si="0"/>
        <v/>
      </c>
      <c r="AF35" s="164" t="str">
        <f t="shared" si="1"/>
        <v/>
      </c>
      <c r="AG35" s="165"/>
      <c r="AH35" s="165"/>
      <c r="AI35" s="165"/>
      <c r="AJ35" s="165"/>
      <c r="AK35" s="164" t="s">
        <v>152</v>
      </c>
      <c r="AL35" s="170">
        <f>$AD$31+10*LOG(D25)+30*LOG(D24/50)-35.6+IF(D33="Yes",-5,0)</f>
        <v>39.964279923180506</v>
      </c>
      <c r="AM35" s="165"/>
      <c r="AN35" s="164" t="s">
        <v>152</v>
      </c>
      <c r="AO35" s="170">
        <f>$AD$31+10*LOG(D43)+30*LOG(D42/50)-35.6+IF(D51="Yes",-5,0)</f>
        <v>39.964279923180506</v>
      </c>
      <c r="AP35" s="170"/>
      <c r="AQ35" s="167" t="s">
        <v>152</v>
      </c>
      <c r="AR35" s="171">
        <f>$AD$31+10*LOG(D61)+30*LOG(D60/50)-35.6+IF(D69="Yes",-5,0)</f>
        <v>35.074529528899539</v>
      </c>
      <c r="AS35" s="165"/>
      <c r="AT35" s="167" t="s">
        <v>152</v>
      </c>
      <c r="AU35" s="171">
        <f>$AD$31+10*LOG(D79)+30*LOG(D78/50)-35.6+IF(D87="Yes",-5,0)</f>
        <v>38.4</v>
      </c>
      <c r="AV35" s="165"/>
      <c r="AW35" s="167" t="s">
        <v>152</v>
      </c>
      <c r="AX35" s="171" t="e">
        <f>$AD$31+10*LOG(D97)+30*LOG(D96/50)-35.6+IF(D105="Yes",-5,0)</f>
        <v>#NUM!</v>
      </c>
      <c r="AY35" s="165"/>
      <c r="AZ35" s="167" t="s">
        <v>152</v>
      </c>
      <c r="BA35" s="171" t="e">
        <f>$AD$31+10*LOG(D115)+30*LOG(D114/50)-35.6+IF(D123="Yes",-5,0)</f>
        <v>#NUM!</v>
      </c>
      <c r="BB35" s="165"/>
      <c r="BC35" s="165"/>
      <c r="BD35" s="165"/>
    </row>
    <row r="36" spans="1:56" s="161" customFormat="1" ht="13.5" thickBot="1" x14ac:dyDescent="0.25">
      <c r="A36" s="62"/>
      <c r="B36" s="138"/>
      <c r="C36" s="139" t="str">
        <f>IF(ISNUMBER(MATCH(D22,$AC$27:$AC$29,0)),"Aerial Structure?","")</f>
        <v/>
      </c>
      <c r="D36" s="140"/>
      <c r="E36" s="62"/>
      <c r="F36" s="62"/>
      <c r="G36" s="137"/>
      <c r="H36" s="62"/>
      <c r="I36" s="62"/>
      <c r="J36" s="62"/>
      <c r="K36" s="62"/>
      <c r="L36" s="62"/>
      <c r="M36" s="62"/>
      <c r="N36" s="62"/>
      <c r="O36" s="62"/>
      <c r="P36" s="62"/>
      <c r="Q36" s="62"/>
      <c r="R36" s="62"/>
      <c r="X36" s="165"/>
      <c r="Y36" s="165"/>
      <c r="Z36" s="165"/>
      <c r="AA36" s="164" t="str">
        <f>IF(D$39=$AA$15,AC23,IF(D$39=$AA$16,AC42,IF(D$39=$AA$17,AC48,"")))</f>
        <v>Electric Locomotive</v>
      </c>
      <c r="AB36" s="165"/>
      <c r="AC36" s="169" t="s">
        <v>101</v>
      </c>
      <c r="AD36" s="165"/>
      <c r="AE36" s="164" t="str">
        <f t="shared" si="0"/>
        <v/>
      </c>
      <c r="AF36" s="164" t="str">
        <f t="shared" si="1"/>
        <v/>
      </c>
      <c r="AG36" s="165"/>
      <c r="AH36" s="165"/>
      <c r="AI36" s="165"/>
      <c r="AJ36" s="165"/>
      <c r="AK36" s="164" t="s">
        <v>100</v>
      </c>
      <c r="AL36" s="170">
        <f>$AD$43+10*LOG(D23/200+D24/60)-35.6+IF(D33="Yes",-5)</f>
        <v>76.671537957574657</v>
      </c>
      <c r="AM36" s="165"/>
      <c r="AN36" s="164" t="s">
        <v>100</v>
      </c>
      <c r="AO36" s="170">
        <f>$AD$43+10*LOG(D41/200+D42/60)-35.6+IF(D51="Yes",-5)</f>
        <v>76.735720576236986</v>
      </c>
      <c r="AP36" s="170"/>
      <c r="AQ36" s="164" t="s">
        <v>100</v>
      </c>
      <c r="AR36" s="171">
        <f>$AD$43+10*LOG(D59/200+D60/60)-35.6+IF(D69="Yes",-5)</f>
        <v>77.608187539523755</v>
      </c>
      <c r="AS36" s="165"/>
      <c r="AT36" s="164" t="s">
        <v>100</v>
      </c>
      <c r="AU36" s="171">
        <f>$AD$43+10*LOG(D77/200+D78/60)-35.6+IF(D87="Yes",-5)</f>
        <v>77.608187539523755</v>
      </c>
      <c r="AV36" s="165"/>
      <c r="AW36" s="164" t="s">
        <v>100</v>
      </c>
      <c r="AX36" s="171" t="e">
        <f>$AD$43+10*LOG(D95/200+D96/60)-35.6+IF(D105="Yes",-5)</f>
        <v>#NUM!</v>
      </c>
      <c r="AY36" s="165"/>
      <c r="AZ36" s="164" t="s">
        <v>100</v>
      </c>
      <c r="BA36" s="171" t="e">
        <f>$AD$43+10*LOG(D113/200+D114/60)-35.6+IF(D123="Yes",-5)</f>
        <v>#NUM!</v>
      </c>
      <c r="BB36" s="165"/>
      <c r="BC36" s="165"/>
      <c r="BD36" s="165"/>
    </row>
    <row r="37" spans="1:56" s="161" customFormat="1" ht="14.25" thickTop="1" thickBot="1" x14ac:dyDescent="0.25">
      <c r="A37" s="62"/>
      <c r="B37" s="62"/>
      <c r="C37" s="141"/>
      <c r="D37" s="98"/>
      <c r="E37" s="62"/>
      <c r="F37" s="62"/>
      <c r="G37" s="137"/>
      <c r="H37" s="62"/>
      <c r="I37" s="62"/>
      <c r="J37" s="62"/>
      <c r="K37" s="62"/>
      <c r="L37" s="62"/>
      <c r="M37" s="62"/>
      <c r="N37" s="62"/>
      <c r="O37" s="62"/>
      <c r="P37" s="62"/>
      <c r="Q37" s="62"/>
      <c r="R37" s="62"/>
      <c r="X37" s="165"/>
      <c r="Y37" s="165"/>
      <c r="Z37" s="165"/>
      <c r="AA37" s="164" t="str">
        <f>IF(D$39=$AA$15,AC24,IF(D$39=$AA$16,AC35,IF(D$39=$AA$17,AC49,"")))</f>
        <v>Locomotive Warning Horn</v>
      </c>
      <c r="AB37" s="165"/>
      <c r="AC37" s="169" t="s">
        <v>101</v>
      </c>
      <c r="AD37" s="165"/>
      <c r="AE37" s="164" t="str">
        <f t="shared" si="0"/>
        <v/>
      </c>
      <c r="AF37" s="164" t="str">
        <f t="shared" si="1"/>
        <v/>
      </c>
      <c r="AG37" s="165"/>
      <c r="AH37" s="165"/>
      <c r="AI37" s="165"/>
      <c r="AJ37" s="165"/>
      <c r="AK37" s="164" t="s">
        <v>75</v>
      </c>
      <c r="AL37" s="170">
        <f>$AD$44+10*LOG(D23/100)-35.6+IF(D33="Yes",-5)</f>
        <v>55.4</v>
      </c>
      <c r="AM37" s="165"/>
      <c r="AN37" s="164" t="s">
        <v>75</v>
      </c>
      <c r="AO37" s="170">
        <f>$AD$44+10*LOG(D41/100)-35.6+IF(D51="Yes",-5)</f>
        <v>60.171212547196625</v>
      </c>
      <c r="AP37" s="170"/>
      <c r="AQ37" s="167" t="s">
        <v>75</v>
      </c>
      <c r="AR37" s="171" t="e">
        <f>$AD$44+10*LOG(D59/100)-35.6+IF(D69="Yes",-5)</f>
        <v>#NUM!</v>
      </c>
      <c r="AS37" s="165"/>
      <c r="AT37" s="167" t="s">
        <v>75</v>
      </c>
      <c r="AU37" s="171" t="e">
        <f>$AD$44+10*LOG(D77/100)-35.6+IF(D87="Yes",-5)</f>
        <v>#NUM!</v>
      </c>
      <c r="AV37" s="165"/>
      <c r="AW37" s="167" t="s">
        <v>75</v>
      </c>
      <c r="AX37" s="171" t="e">
        <f>$AD$44+10*LOG(D95/100)-35.6+IF(D105="Yes",-5)</f>
        <v>#NUM!</v>
      </c>
      <c r="AY37" s="165"/>
      <c r="AZ37" s="167" t="s">
        <v>75</v>
      </c>
      <c r="BA37" s="171" t="e">
        <f>$AD$44+10*LOG(D113/100)-35.6+IF(D123="Yes",-5)</f>
        <v>#NUM!</v>
      </c>
      <c r="BB37" s="165"/>
      <c r="BC37" s="165"/>
      <c r="BD37" s="165"/>
    </row>
    <row r="38" spans="1:56" s="161" customFormat="1" ht="15" thickTop="1" x14ac:dyDescent="0.2">
      <c r="A38" s="62"/>
      <c r="B38" s="76" t="str">
        <f>IF($D$18&gt;1,"Noise Source Parameters","")</f>
        <v>Noise Source Parameters</v>
      </c>
      <c r="C38" s="142"/>
      <c r="D38" s="108" t="str">
        <f>IF($D$18&gt;1,"Source 2","")</f>
        <v>Source 2</v>
      </c>
      <c r="E38" s="66"/>
      <c r="F38" s="66"/>
      <c r="G38" s="143"/>
      <c r="H38" s="144"/>
      <c r="I38" s="62"/>
      <c r="J38" s="62"/>
      <c r="K38" s="62"/>
      <c r="L38" s="62"/>
      <c r="M38" s="62"/>
      <c r="N38" s="62"/>
      <c r="O38" s="62"/>
      <c r="P38" s="62"/>
      <c r="Q38" s="62"/>
      <c r="R38" s="62"/>
      <c r="X38" s="165"/>
      <c r="Y38" s="165"/>
      <c r="Z38" s="165"/>
      <c r="AA38" s="164" t="str">
        <f>IF(D$39=$AA$15,AC25,IF(D$39=$AA$16,AC38,IF(D$39=$AA$17,AC47,"")))</f>
        <v>Monorail</v>
      </c>
      <c r="AB38" s="165"/>
      <c r="AC38" s="169" t="s">
        <v>101</v>
      </c>
      <c r="AD38" s="165"/>
      <c r="AE38" s="164" t="str">
        <f t="shared" si="0"/>
        <v/>
      </c>
      <c r="AF38" s="164" t="str">
        <f t="shared" si="1"/>
        <v/>
      </c>
      <c r="AG38" s="165"/>
      <c r="AH38" s="165"/>
      <c r="AI38" s="165"/>
      <c r="AJ38" s="165"/>
      <c r="AK38" s="164" t="s">
        <v>113</v>
      </c>
      <c r="AL38" s="170">
        <f>$AD$45+10*LOG(D23/20)-35.6+IF(D33="Yes",-5)</f>
        <v>52.389700043360186</v>
      </c>
      <c r="AM38" s="165"/>
      <c r="AN38" s="164" t="s">
        <v>113</v>
      </c>
      <c r="AO38" s="170">
        <f>$AD$45+10*LOG(D41/20)-35.6+IF(D51="Yes",-5)</f>
        <v>57.160912590556812</v>
      </c>
      <c r="AP38" s="170"/>
      <c r="AQ38" s="167" t="s">
        <v>113</v>
      </c>
      <c r="AR38" s="171" t="e">
        <f>$AD$45+10*LOG(D59/20)-35.6+IF(D69="Yes",-5)</f>
        <v>#NUM!</v>
      </c>
      <c r="AS38" s="165"/>
      <c r="AT38" s="167" t="s">
        <v>113</v>
      </c>
      <c r="AU38" s="171" t="e">
        <f>$AD$45+10*LOG(D77/20)-35.6+IF(D87="Yes",-5)</f>
        <v>#NUM!</v>
      </c>
      <c r="AV38" s="165"/>
      <c r="AW38" s="167" t="s">
        <v>113</v>
      </c>
      <c r="AX38" s="171" t="e">
        <f>$AD$45+10*LOG(D95/20)-35.6+IF(D105="Yes",-5)</f>
        <v>#NUM!</v>
      </c>
      <c r="AY38" s="165"/>
      <c r="AZ38" s="167" t="s">
        <v>113</v>
      </c>
      <c r="BA38" s="171" t="e">
        <f>$AD$45+10*LOG(D113/20)-35.6+IF(D123="Yes",-5)</f>
        <v>#NUM!</v>
      </c>
      <c r="BB38" s="165"/>
      <c r="BC38" s="165"/>
      <c r="BD38" s="165"/>
    </row>
    <row r="39" spans="1:56" s="161" customFormat="1" x14ac:dyDescent="0.2">
      <c r="A39" s="62"/>
      <c r="B39" s="109"/>
      <c r="C39" s="145" t="str">
        <f>IF($D$18&gt;1,"Source Type:","")</f>
        <v>Source Type:</v>
      </c>
      <c r="D39" s="111" t="s">
        <v>148</v>
      </c>
      <c r="E39" s="62"/>
      <c r="F39" s="62"/>
      <c r="G39" s="137"/>
      <c r="H39" s="62"/>
      <c r="I39" s="62"/>
      <c r="J39" s="62"/>
      <c r="K39" s="62"/>
      <c r="L39" s="62"/>
      <c r="M39" s="62"/>
      <c r="N39" s="62"/>
      <c r="O39" s="62"/>
      <c r="P39" s="62"/>
      <c r="Q39" s="62"/>
      <c r="R39" s="62"/>
      <c r="X39" s="165"/>
      <c r="Y39" s="165"/>
      <c r="Z39" s="165"/>
      <c r="AA39" s="164" t="str">
        <f>IF(D$39=$AA$15,AC26,IF(D$39=$AA$16,AC39,IF(D$39=$AA$17,AC50,"")))</f>
        <v>Maglev</v>
      </c>
      <c r="AB39" s="165"/>
      <c r="AC39" s="169" t="s">
        <v>101</v>
      </c>
      <c r="AD39" s="165"/>
      <c r="AE39" s="164" t="str">
        <f t="shared" si="0"/>
        <v/>
      </c>
      <c r="AF39" s="164" t="str">
        <f t="shared" si="1"/>
        <v/>
      </c>
      <c r="AG39" s="165"/>
      <c r="AH39" s="165"/>
      <c r="AI39" s="165"/>
      <c r="AJ39" s="165"/>
      <c r="AK39" s="164" t="s">
        <v>153</v>
      </c>
      <c r="AL39" s="170">
        <f>$AD$32+10*LOG(D25)+15*LOG(D24/50)-35.6+IF(D33="Yes",-5,0)</f>
        <v>49.417930118301349</v>
      </c>
      <c r="AM39" s="165"/>
      <c r="AN39" s="164" t="s">
        <v>153</v>
      </c>
      <c r="AO39" s="170">
        <f>$AD$32+10*LOG(D43)+15*LOG(D42/50)-35.6+IF(D51="Yes",-5,0)</f>
        <v>49.417930118301349</v>
      </c>
      <c r="AP39" s="170"/>
      <c r="AQ39" s="167" t="s">
        <v>153</v>
      </c>
      <c r="AR39" s="171">
        <f>$AD$32+10*LOG(D61)+15*LOG(D60/50)-35.6+IF(D69="Yes",-5,0)</f>
        <v>43.074529528899539</v>
      </c>
      <c r="AS39" s="165"/>
      <c r="AT39" s="167" t="s">
        <v>153</v>
      </c>
      <c r="AU39" s="171">
        <f>$AD$32+10*LOG(D79)+15*LOG(D78/50)-35.6+IF(D87="Yes",-5,0)</f>
        <v>46.4</v>
      </c>
      <c r="AV39" s="165"/>
      <c r="AW39" s="167" t="s">
        <v>153</v>
      </c>
      <c r="AX39" s="171" t="e">
        <f>$AD$32+10*LOG(D97)+15*LOG(D96/50)-35.6+IF(D105="Yes",-5,0)</f>
        <v>#NUM!</v>
      </c>
      <c r="AY39" s="165"/>
      <c r="AZ39" s="167" t="s">
        <v>153</v>
      </c>
      <c r="BA39" s="171" t="e">
        <f>$AD$32+10*LOG(D115)+15*LOG(D114/50)-35.6+IF(D123="Yes",-5,0)</f>
        <v>#NUM!</v>
      </c>
      <c r="BB39" s="165"/>
      <c r="BC39" s="165"/>
      <c r="BD39" s="165"/>
    </row>
    <row r="40" spans="1:56" s="161" customFormat="1" ht="13.5" thickBot="1" x14ac:dyDescent="0.25">
      <c r="A40" s="62"/>
      <c r="B40" s="112"/>
      <c r="C40" s="131" t="str">
        <f>IF($D$18&gt;1,"Specific Source:","")</f>
        <v>Specific Source:</v>
      </c>
      <c r="D40" s="114" t="s">
        <v>124</v>
      </c>
      <c r="E40" s="62"/>
      <c r="F40" s="62"/>
      <c r="G40" s="71" t="str">
        <f>IF($D$18&gt;1,"Source 2  Results","")</f>
        <v>Source 2  Results</v>
      </c>
      <c r="H40" s="62"/>
      <c r="I40" s="62"/>
      <c r="J40" s="62"/>
      <c r="K40" s="62"/>
      <c r="L40" s="62"/>
      <c r="M40" s="62"/>
      <c r="N40" s="62"/>
      <c r="O40" s="62"/>
      <c r="P40" s="62"/>
      <c r="Q40" s="62"/>
      <c r="R40" s="62"/>
      <c r="X40" s="165"/>
      <c r="Y40" s="165"/>
      <c r="Z40" s="165"/>
      <c r="AA40" s="164" t="str">
        <f>IF(D$39=$AA$15,AC27,IF(D$39=$AA$16,AC40,IF(D$39=$AA$17,AC51,"")))</f>
        <v>Rail Car</v>
      </c>
      <c r="AB40" s="165"/>
      <c r="AC40" s="169" t="s">
        <v>101</v>
      </c>
      <c r="AD40" s="165"/>
      <c r="AE40" s="164" t="str">
        <f t="shared" si="0"/>
        <v/>
      </c>
      <c r="AF40" s="164" t="str">
        <f t="shared" si="1"/>
        <v/>
      </c>
      <c r="AG40" s="165"/>
      <c r="AH40" s="165"/>
      <c r="AI40" s="165"/>
      <c r="AJ40" s="165"/>
      <c r="AK40" s="164" t="s">
        <v>154</v>
      </c>
      <c r="AL40" s="170">
        <f>$AD$33+10*LOG(D25)+28*LOG(D24/50)-35.6+IF(D33="Yes",-5,0)</f>
        <v>46.158099949196618</v>
      </c>
      <c r="AM40" s="165"/>
      <c r="AN40" s="164" t="s">
        <v>154</v>
      </c>
      <c r="AO40" s="170">
        <f>$AD$33+10*LOG(D43)+28*LOG(D42/50)-35.6+IF(D51="Yes",-5,0)</f>
        <v>46.158099949196618</v>
      </c>
      <c r="AP40" s="170"/>
      <c r="AQ40" s="167" t="s">
        <v>154</v>
      </c>
      <c r="AR40" s="171">
        <f>$AD$33+10*LOG(D61)+28*LOG(D60/50)-35.6+IF(D69="Yes",-5,0)</f>
        <v>41.074529528899539</v>
      </c>
      <c r="AS40" s="165"/>
      <c r="AT40" s="167" t="s">
        <v>154</v>
      </c>
      <c r="AU40" s="171">
        <f>$AD$33+10*LOG(D79)+28*LOG(D78/50)-35.6+IF(D87="Yes",-5,0)</f>
        <v>44.4</v>
      </c>
      <c r="AV40" s="165"/>
      <c r="AW40" s="167" t="s">
        <v>154</v>
      </c>
      <c r="AX40" s="171" t="e">
        <f>$AD$33+10*LOG(D97)+28*LOG(D96/50)-35.6+IF(D105="Yes",-5,0)</f>
        <v>#NUM!</v>
      </c>
      <c r="AY40" s="165"/>
      <c r="AZ40" s="167" t="s">
        <v>154</v>
      </c>
      <c r="BA40" s="171" t="e">
        <f>$AD$33+10*LOG(D115)+28*LOG(D114/50)-35.6+IF(D123="Yes",-5,0)</f>
        <v>#NUM!</v>
      </c>
      <c r="BB40" s="165"/>
      <c r="BC40" s="165"/>
      <c r="BD40" s="165"/>
    </row>
    <row r="41" spans="1:56" s="161" customFormat="1" ht="15" thickTop="1" x14ac:dyDescent="0.2">
      <c r="A41" s="62"/>
      <c r="B41" s="115" t="str">
        <f>IF($D$18&gt;1,IF(D12=AA10,"Daytime hrs","Noisiest hr of"),"")</f>
        <v>Daytime hrs</v>
      </c>
      <c r="C41" s="110" t="str">
        <f>IF($D$18&gt;1,IF($D39=$AA$16,"",INDEX(Parameters,MATCH($D40,$AC$19:$AC$52,0),3)),"")</f>
        <v>Avg. Number of Rail Cars/train</v>
      </c>
      <c r="D41" s="116">
        <v>3</v>
      </c>
      <c r="E41" s="62"/>
      <c r="F41" s="62"/>
      <c r="G41" s="117" t="str">
        <f>IF($D$18&gt;1,IF($D$12=$AA$10,"Leq(day):","Leqh:"),"")</f>
        <v>Leq(day):</v>
      </c>
      <c r="H41" s="118">
        <f>IF($D$18&gt;1,IF(ISERROR(INDEX(LeqDay,MATCH($D40,$AK$33:$AK$59,0),5)),0,INDEX(LeqDay,MATCH($D40,$AK$33:$AK$59,0),5)+IF(Calculations!D39=Calculations!$AA$17,-25*LOG(Calculations!D49/50),-15*LOG(Calculations!D49/50))-MIN(10,IF(D50&gt;0,IF(D50=1,4.5,4.5+((D50-1)*1.5)),0))),"")</f>
        <v>49.204592600457694</v>
      </c>
      <c r="I41" s="62"/>
      <c r="J41" s="62"/>
      <c r="K41" s="62"/>
      <c r="L41" s="62"/>
      <c r="M41" s="62"/>
      <c r="N41" s="62"/>
      <c r="O41" s="62"/>
      <c r="P41" s="62"/>
      <c r="Q41" s="62"/>
      <c r="R41" s="62"/>
      <c r="X41" s="165"/>
      <c r="Y41" s="165"/>
      <c r="Z41" s="165"/>
      <c r="AA41" s="164" t="str">
        <f>IF(D$39=$AA$15,AC28,IF(D$39=$AA$16,AC41,IF(D$39=$AA$17,AC52,"")))</f>
        <v>Rail Transit Vehicle/Streetcar &lt;= 25 mph</v>
      </c>
      <c r="AB41" s="165"/>
      <c r="AC41" s="169" t="s">
        <v>101</v>
      </c>
      <c r="AD41" s="165"/>
      <c r="AE41" s="164" t="str">
        <f t="shared" si="0"/>
        <v/>
      </c>
      <c r="AF41" s="164" t="str">
        <f t="shared" si="1"/>
        <v/>
      </c>
      <c r="AG41" s="165"/>
      <c r="AH41" s="165"/>
      <c r="AI41" s="165"/>
      <c r="AJ41" s="165"/>
      <c r="AK41" s="164" t="s">
        <v>155</v>
      </c>
      <c r="AL41" s="170">
        <f>$AD$34+10*LOG(D25)+21*LOG(D24/50)-35.6+IF(D33="Yes",-5,0)</f>
        <v>49.836470040253012</v>
      </c>
      <c r="AM41" s="165"/>
      <c r="AN41" s="164" t="s">
        <v>155</v>
      </c>
      <c r="AO41" s="170">
        <f>$AD$34+10*LOG(D43)+21*LOG(D42/50)-35.6+IF(D51="Yes",-5,0)</f>
        <v>49.836470040253012</v>
      </c>
      <c r="AP41" s="170"/>
      <c r="AQ41" s="167" t="s">
        <v>155</v>
      </c>
      <c r="AR41" s="171">
        <f>$AD$34+10*LOG(D61)+21*LOG(D60/50)-35.6+IF(D69="Yes",-5,0)</f>
        <v>44.074529528899539</v>
      </c>
      <c r="AS41" s="165"/>
      <c r="AT41" s="167" t="s">
        <v>155</v>
      </c>
      <c r="AU41" s="171">
        <f>$AD$34+10*LOG(D79)+21*LOG(D78/50)-35.6+IF(D87="Yes",-5,0)</f>
        <v>47.4</v>
      </c>
      <c r="AV41" s="165"/>
      <c r="AW41" s="167" t="s">
        <v>155</v>
      </c>
      <c r="AX41" s="171" t="e">
        <f>$AD$34+10*LOG(D97)+21*LOG(D96/50)-35.6+IF(D105="Yes",-5,0)</f>
        <v>#NUM!</v>
      </c>
      <c r="AY41" s="165"/>
      <c r="AZ41" s="167" t="s">
        <v>155</v>
      </c>
      <c r="BA41" s="171" t="e">
        <f>$AD$34+10*LOG(D115)+21*LOG(D114/50)-35.6+IF(D123="Yes",-5,0)</f>
        <v>#NUM!</v>
      </c>
      <c r="BB41" s="165"/>
      <c r="BC41" s="165"/>
      <c r="BD41" s="165"/>
    </row>
    <row r="42" spans="1:56" s="161" customFormat="1" ht="14.25" x14ac:dyDescent="0.2">
      <c r="A42" s="62"/>
      <c r="B42" s="115" t="str">
        <f>IF($D$18&gt;1,IF($D$12=$AA$10,"","Activity During"),"")</f>
        <v/>
      </c>
      <c r="C42" s="119" t="str">
        <f>IF($D$18&gt;1,IF(D39=$AA$17,INDEX(Parameters,MATCH($D$40,$AC$19:$AC$52,0),4),"Speed (mph)"),"")</f>
        <v>Speed (mph)</v>
      </c>
      <c r="D42" s="120">
        <v>40</v>
      </c>
      <c r="E42" s="62"/>
      <c r="F42" s="62"/>
      <c r="G42" s="121" t="str">
        <f>IF($D$18&gt;1,IF($D$12=$AA$10,"Leq(night):",""),"")</f>
        <v>Leq(night):</v>
      </c>
      <c r="H42" s="122">
        <f>IF($D$18&gt;1,IF($D$12=$AA$10,IF(ISERROR(INDEX(LeqNight,MATCH($D40,$AK$33:$AK$59,0),5)),0,INDEX(LeqNight,MATCH($D40,$AK$33:$AK$59,0),5)+IF(Calculations!D39=Calculations!$AA$17,-25*LOG(Calculations!D49/50),-15*LOG(Calculations!D49/50))-MIN(10,IF(D50&gt;0,IF(D50=1,4.5,4.5+((D50-1)*1.5)),0))),""),"")</f>
        <v>43.183992687178069</v>
      </c>
      <c r="I42" s="62"/>
      <c r="J42" s="62"/>
      <c r="K42" s="62"/>
      <c r="L42" s="62"/>
      <c r="M42" s="62"/>
      <c r="N42" s="62"/>
      <c r="O42" s="62"/>
      <c r="P42" s="62"/>
      <c r="Q42" s="62"/>
      <c r="R42" s="62"/>
      <c r="X42" s="165"/>
      <c r="Y42" s="165"/>
      <c r="Z42" s="165"/>
      <c r="AA42" s="164" t="str">
        <f>IF(D$39=$AA$15,AC29,IF(D$39=$AA$16,AC42,IF(D$39=$AA$17,AC53,"")))</f>
        <v>Rail Transit Vehicle/Streetcar &gt; 25 mph</v>
      </c>
      <c r="AB42" s="165"/>
      <c r="AC42" s="169" t="s">
        <v>101</v>
      </c>
      <c r="AD42" s="165"/>
      <c r="AE42" s="164" t="str">
        <f t="shared" si="0"/>
        <v/>
      </c>
      <c r="AF42" s="164" t="str">
        <f t="shared" si="1"/>
        <v/>
      </c>
      <c r="AG42" s="165"/>
      <c r="AH42" s="165"/>
      <c r="AI42" s="165"/>
      <c r="AJ42" s="165"/>
      <c r="AK42" s="164"/>
      <c r="AL42" s="170"/>
      <c r="AM42" s="165"/>
      <c r="AN42" s="164"/>
      <c r="AO42" s="170"/>
      <c r="AP42" s="170"/>
      <c r="AQ42" s="167"/>
      <c r="AR42" s="171"/>
      <c r="AS42" s="165"/>
      <c r="AT42" s="167"/>
      <c r="AU42" s="171"/>
      <c r="AV42" s="165"/>
      <c r="AW42" s="167"/>
      <c r="AX42" s="171"/>
      <c r="AY42" s="165"/>
      <c r="AZ42" s="167"/>
      <c r="BA42" s="171"/>
      <c r="BB42" s="165"/>
      <c r="BC42" s="165"/>
      <c r="BD42" s="165"/>
    </row>
    <row r="43" spans="1:56" s="161" customFormat="1" ht="14.25" x14ac:dyDescent="0.2">
      <c r="A43" s="62"/>
      <c r="B43" s="115" t="str">
        <f>IF($D$18&gt;1,IF($D$12=$AA$10,"","Sensitive hrs"),"")</f>
        <v/>
      </c>
      <c r="C43" s="119" t="str">
        <f>IF($D$18&gt;1,IF($D$12=$AA$10,IF($D39=$AA$15,"Avg. Number of Events/hr",IF($D39=$AA$16,"Avg. Number of Events/hr","")),IF($D39=$AA$15,"Number of Events/hr",IF($D39=$AA$16,"Number of Events/hr",""))),"")</f>
        <v>Avg. Number of Events/hr</v>
      </c>
      <c r="D43" s="120">
        <v>2.8</v>
      </c>
      <c r="E43" s="62"/>
      <c r="F43" s="62"/>
      <c r="G43" s="121" t="str">
        <f>IF($D$18&gt;1,IF($D$12=$AA$10,"Ldn:",""),"")</f>
        <v>Ldn:</v>
      </c>
      <c r="H43" s="122">
        <f>IF($D$18&gt;1,IF($D$12=$AA$10,10*LOG(15*10^(H41/10)+9*10^((H42+10)/10))-13.8,""),"")</f>
        <v>51.144905277734892</v>
      </c>
      <c r="I43" s="62"/>
      <c r="J43" s="62"/>
      <c r="K43" s="62"/>
      <c r="L43" s="62"/>
      <c r="M43" s="62"/>
      <c r="N43" s="62"/>
      <c r="O43" s="62"/>
      <c r="P43" s="62"/>
      <c r="Q43" s="62"/>
      <c r="R43" s="62"/>
      <c r="X43" s="165"/>
      <c r="Y43" s="165"/>
      <c r="Z43" s="165"/>
      <c r="AA43" s="164" t="str">
        <f>IF(D$39=$AA$15,AC30,IF(D$39=$AA$16,AC36,IF(D$39=$AA$17,AC54,"")))</f>
        <v>Transit warning device</v>
      </c>
      <c r="AB43" s="165"/>
      <c r="AC43" s="164" t="s">
        <v>100</v>
      </c>
      <c r="AD43" s="164">
        <v>114</v>
      </c>
      <c r="AE43" s="164" t="str">
        <f t="shared" ref="AE43:AE52" si="2">IF($D$12=$AA$10,AG43,AI43)</f>
        <v>Avg. Number of Buses/hr</v>
      </c>
      <c r="AF43" s="164" t="str">
        <f t="shared" si="1"/>
        <v>Avg. Number of Buses Serviced/hr</v>
      </c>
      <c r="AG43" s="164" t="s">
        <v>78</v>
      </c>
      <c r="AH43" s="164" t="s">
        <v>162</v>
      </c>
      <c r="AI43" s="164" t="s">
        <v>36</v>
      </c>
      <c r="AJ43" s="164" t="s">
        <v>37</v>
      </c>
      <c r="AK43" s="164" t="s">
        <v>58</v>
      </c>
      <c r="AL43" s="170">
        <f>$AD$46+10*LOG(D23/3600)-35.6</f>
        <v>37.836974992327121</v>
      </c>
      <c r="AM43" s="165"/>
      <c r="AN43" s="164" t="s">
        <v>58</v>
      </c>
      <c r="AO43" s="170">
        <f>$AD$46+10*LOG(D41/3600)-35.6</f>
        <v>42.608187539523747</v>
      </c>
      <c r="AP43" s="170"/>
      <c r="AQ43" s="167" t="s">
        <v>58</v>
      </c>
      <c r="AR43" s="171" t="e">
        <f>$AD$46+10*LOG(D59/3600)-35.6</f>
        <v>#NUM!</v>
      </c>
      <c r="AS43" s="165"/>
      <c r="AT43" s="167" t="s">
        <v>58</v>
      </c>
      <c r="AU43" s="171" t="e">
        <f>$AD$46+10*LOG(D77/3600)-35.6</f>
        <v>#NUM!</v>
      </c>
      <c r="AV43" s="165"/>
      <c r="AW43" s="167" t="s">
        <v>58</v>
      </c>
      <c r="AX43" s="171" t="e">
        <f>$AD$46+10*LOG(D95/3600)-35.6</f>
        <v>#NUM!</v>
      </c>
      <c r="AY43" s="165"/>
      <c r="AZ43" s="167" t="s">
        <v>58</v>
      </c>
      <c r="BA43" s="171" t="e">
        <f>$AD$46+10*LOG(D113/3600)-35.6</f>
        <v>#NUM!</v>
      </c>
      <c r="BB43" s="165"/>
      <c r="BC43" s="165"/>
      <c r="BD43" s="165"/>
    </row>
    <row r="44" spans="1:56" s="161" customFormat="1" ht="15" thickBot="1" x14ac:dyDescent="0.25">
      <c r="A44" s="62"/>
      <c r="B44" s="126"/>
      <c r="C44" s="113"/>
      <c r="D44" s="151"/>
      <c r="E44" s="62"/>
      <c r="F44" s="62"/>
      <c r="G44" s="124" t="str">
        <f>IF($D$18&gt;1,IF($D$12=$AA$10,"Incremental Ldn (Src 1-2):","Incremental Leqh (Src 1-2):"),"")</f>
        <v>Incremental Ldn (Src 1-2):</v>
      </c>
      <c r="H44" s="125">
        <f>IF($D$18&gt;1,IF($D$12=$AA$10,10*LOG10(10^(H25/10)+10^(H43/10)),10*LOG10(10^(H23/10)+10^(H41/10))),"")</f>
        <v>59.901545594533488</v>
      </c>
      <c r="I44" s="62"/>
      <c r="J44" s="62"/>
      <c r="K44" s="62"/>
      <c r="L44" s="62"/>
      <c r="M44" s="62"/>
      <c r="N44" s="62"/>
      <c r="O44" s="62"/>
      <c r="P44" s="62"/>
      <c r="Q44" s="62"/>
      <c r="R44" s="62"/>
      <c r="X44" s="165"/>
      <c r="Y44" s="165"/>
      <c r="Z44" s="165"/>
      <c r="AA44" s="165"/>
      <c r="AB44" s="165"/>
      <c r="AC44" s="164" t="s">
        <v>75</v>
      </c>
      <c r="AD44" s="164">
        <v>111</v>
      </c>
      <c r="AE44" s="164" t="str">
        <f t="shared" si="2"/>
        <v>Avg. Number of Buses/hr</v>
      </c>
      <c r="AF44" s="164" t="str">
        <f t="shared" si="1"/>
        <v/>
      </c>
      <c r="AG44" s="164" t="s">
        <v>78</v>
      </c>
      <c r="AH44" s="169" t="s">
        <v>99</v>
      </c>
      <c r="AI44" s="164" t="s">
        <v>36</v>
      </c>
      <c r="AJ44" s="169" t="s">
        <v>99</v>
      </c>
      <c r="AK44" s="164" t="s">
        <v>125</v>
      </c>
      <c r="AL44" s="170">
        <f>$AD$21+10*LOG10(D23)+(-10*LOG(D24/50))+10*LOG(D25)-35.6+IF(D33="Yes",0)</f>
        <v>61.840680443502755</v>
      </c>
      <c r="AM44" s="165"/>
      <c r="AN44" s="164" t="s">
        <v>125</v>
      </c>
      <c r="AO44" s="170">
        <f>$AD$21+10*LOG10(D41)+(-10*LOG(D42/50))+10*LOG(D43)-35.6+IF(D51="Yes",0)</f>
        <v>66.611892990699374</v>
      </c>
      <c r="AP44" s="170"/>
      <c r="AQ44" s="167" t="s">
        <v>125</v>
      </c>
      <c r="AR44" s="171" t="e">
        <f>$AD$21+10*LOG10(D59)+(-10*LOG(D60/50))+10*LOG(D61)-35.6+IF(D69="Yes",0)</f>
        <v>#NUM!</v>
      </c>
      <c r="AS44" s="165"/>
      <c r="AT44" s="167" t="s">
        <v>125</v>
      </c>
      <c r="AU44" s="171" t="e">
        <f>$AD$21+10*LOG10(D77)+(-10*LOG(D78/50))+10*LOG(D79)-35.6+IF(D87="Yes",0)</f>
        <v>#NUM!</v>
      </c>
      <c r="AV44" s="165"/>
      <c r="AW44" s="167" t="s">
        <v>125</v>
      </c>
      <c r="AX44" s="171" t="e">
        <f>$AD$21+10*LOG10(D95)+(-10*LOG(D96/50))+10*LOG(D97)-35.6+IF(D105="Yes",0)</f>
        <v>#NUM!</v>
      </c>
      <c r="AY44" s="165"/>
      <c r="AZ44" s="167" t="s">
        <v>125</v>
      </c>
      <c r="BA44" s="171" t="e">
        <f>$AD$21+10*LOG10(D113)+(-10*LOG(D114/50))+10*LOG(D115)-35.6+IF(D123="Yes",0)</f>
        <v>#NUM!</v>
      </c>
      <c r="BB44" s="165"/>
      <c r="BC44" s="165"/>
      <c r="BD44" s="165"/>
    </row>
    <row r="45" spans="1:56" s="161" customFormat="1" ht="13.5" thickTop="1" x14ac:dyDescent="0.2">
      <c r="A45" s="62"/>
      <c r="B45" s="115" t="str">
        <f>IF($D$18&gt;1,IF($D$12=$AA$10,"Nighttime hrs",""),"")</f>
        <v>Nighttime hrs</v>
      </c>
      <c r="C45" s="110" t="str">
        <f>IF($D$18&gt;1,IF($D$12=$AA$10,IF(D39=$AA$16,"",INDEX(Parameters,MATCH($D40,$AC$19:$AC$52,0),3)),""),"")</f>
        <v>Avg. Number of Rail Cars/train</v>
      </c>
      <c r="D45" s="116">
        <v>3</v>
      </c>
      <c r="E45" s="62"/>
      <c r="F45" s="62"/>
      <c r="G45" s="137"/>
      <c r="H45" s="62"/>
      <c r="I45" s="62"/>
      <c r="J45" s="62"/>
      <c r="K45" s="62"/>
      <c r="L45" s="62"/>
      <c r="M45" s="62"/>
      <c r="N45" s="62"/>
      <c r="O45" s="62"/>
      <c r="P45" s="62"/>
      <c r="Q45" s="62"/>
      <c r="R45" s="62"/>
      <c r="X45" s="165"/>
      <c r="Y45" s="165"/>
      <c r="Z45" s="164">
        <v>3</v>
      </c>
      <c r="AA45" s="164" t="str">
        <f>IF(D$57=$AA$15,AC19,IF(D$57=$AA$16,AC31,IF(D$57=$AA$17,AC43,"")))</f>
        <v>Automated Guideway Transit /Rubber Tire</v>
      </c>
      <c r="AB45" s="165"/>
      <c r="AC45" s="164" t="s">
        <v>113</v>
      </c>
      <c r="AD45" s="164">
        <v>101</v>
      </c>
      <c r="AE45" s="164" t="str">
        <f t="shared" si="2"/>
        <v>Avg. Number of Buses/hr</v>
      </c>
      <c r="AF45" s="164" t="str">
        <f t="shared" si="1"/>
        <v/>
      </c>
      <c r="AG45" s="164" t="s">
        <v>78</v>
      </c>
      <c r="AH45" s="169" t="s">
        <v>99</v>
      </c>
      <c r="AI45" s="164" t="s">
        <v>36</v>
      </c>
      <c r="AJ45" s="169" t="s">
        <v>99</v>
      </c>
      <c r="AK45" s="164" t="s">
        <v>126</v>
      </c>
      <c r="AL45" s="170">
        <f>$AD$22+10*LOG10(D23)+(0*LOG(D24/50))+10*LOG(D25)-35.6+IF(D33="Yes",0)</f>
        <v>53.871580313422193</v>
      </c>
      <c r="AM45" s="165"/>
      <c r="AN45" s="164" t="s">
        <v>126</v>
      </c>
      <c r="AO45" s="170">
        <f>$AD$22+10*LOG10(D41)+(0*LOG(D42/50))+10*LOG(D43)-35.6+IF(D51="Yes",0)</f>
        <v>58.642792860618819</v>
      </c>
      <c r="AP45" s="170"/>
      <c r="AQ45" s="167" t="s">
        <v>126</v>
      </c>
      <c r="AR45" s="171" t="e">
        <f>$AD$22+10*LOG10(D59)+(0*LOG(D60/50))+10*LOG(D61)-35.6+IF(D69="Yes",0)</f>
        <v>#NUM!</v>
      </c>
      <c r="AS45" s="165"/>
      <c r="AT45" s="167" t="s">
        <v>126</v>
      </c>
      <c r="AU45" s="171" t="e">
        <f>$AD$22+10*LOG10(D77)+(0*LOG(D78/50))+10*LOG(D79)-35.6+IF(D87="Yes",0)</f>
        <v>#NUM!</v>
      </c>
      <c r="AV45" s="165"/>
      <c r="AW45" s="167" t="s">
        <v>126</v>
      </c>
      <c r="AX45" s="171" t="e">
        <f>$AD$22+10*LOG10(D95)+(0*LOG(D96/50))+10*LOG(D97)-35.6+IF(D105="Yes",0)</f>
        <v>#NUM!</v>
      </c>
      <c r="AY45" s="165"/>
      <c r="AZ45" s="167" t="s">
        <v>126</v>
      </c>
      <c r="BA45" s="171" t="e">
        <f>$AD$22+10*LOG10(D113)+(0*LOG(D114/50))+10*LOG(D115)-35.6+IF(D123="Yes",0)</f>
        <v>#NUM!</v>
      </c>
      <c r="BB45" s="165"/>
      <c r="BC45" s="165"/>
      <c r="BD45" s="165"/>
    </row>
    <row r="46" spans="1:56" s="161" customFormat="1" x14ac:dyDescent="0.2">
      <c r="A46" s="62"/>
      <c r="B46" s="115"/>
      <c r="C46" s="119" t="str">
        <f>IF($D$18&gt;1,IF($D$12=$AA$10,IF($D39=$AA$15,"Speed (mph)",IF($D39=$AA$16,"Speed (mph)",IF($D39=$AA$17,INDEX($AF$43:$AF$52,MATCH(D40,$AC$43:$AC$52,0)),""))),""),"")</f>
        <v>Speed (mph)</v>
      </c>
      <c r="D46" s="120">
        <v>40</v>
      </c>
      <c r="E46" s="62"/>
      <c r="F46" s="62"/>
      <c r="G46" s="137"/>
      <c r="H46" s="62"/>
      <c r="I46" s="62"/>
      <c r="J46" s="62"/>
      <c r="K46" s="62"/>
      <c r="L46" s="62"/>
      <c r="M46" s="62"/>
      <c r="N46" s="62"/>
      <c r="O46" s="62"/>
      <c r="P46" s="62"/>
      <c r="Q46" s="62"/>
      <c r="R46" s="62"/>
      <c r="X46" s="165"/>
      <c r="Y46" s="165"/>
      <c r="Z46" s="165"/>
      <c r="AA46" s="164" t="str">
        <f>IF(D$57=$AA$15,AC20,IF(D$57=$AA$16,AC32,IF(D$57=$AA$17,AC44,"")))</f>
        <v>Automated Guideway Transit /Steel Wheel</v>
      </c>
      <c r="AB46" s="165"/>
      <c r="AC46" s="164" t="s">
        <v>58</v>
      </c>
      <c r="AD46" s="164">
        <v>109</v>
      </c>
      <c r="AE46" s="164" t="str">
        <f t="shared" si="2"/>
        <v>Signal Duration/hr (seconds)</v>
      </c>
      <c r="AF46" s="164" t="str">
        <f t="shared" si="1"/>
        <v/>
      </c>
      <c r="AG46" s="164" t="s">
        <v>83</v>
      </c>
      <c r="AH46" s="169" t="s">
        <v>99</v>
      </c>
      <c r="AI46" s="164" t="s">
        <v>83</v>
      </c>
      <c r="AJ46" s="169" t="s">
        <v>99</v>
      </c>
      <c r="AK46" s="164" t="s">
        <v>89</v>
      </c>
      <c r="AL46" s="170">
        <f>$AD$23+10*LOG10(D23)+(10*LOG(D24/50))+10*LOG(D25)-35.6+IF(D33="Yes",0)</f>
        <v>57.90248018334163</v>
      </c>
      <c r="AM46" s="165"/>
      <c r="AN46" s="164" t="s">
        <v>89</v>
      </c>
      <c r="AO46" s="170">
        <f>$AD$23+10*LOG10(D41)+(10*LOG(D42/50))+10*LOG(D43)-35.6+IF(D51="Yes",0)</f>
        <v>62.673692730538257</v>
      </c>
      <c r="AP46" s="165"/>
      <c r="AQ46" s="167" t="s">
        <v>89</v>
      </c>
      <c r="AR46" s="167" t="e">
        <f>$AD$23+10*LOG10(D59)+(10*LOG(D60/50))+10*LOG(D61)-35.6+IF(D69="Yes",0)</f>
        <v>#NUM!</v>
      </c>
      <c r="AS46" s="165"/>
      <c r="AT46" s="167" t="s">
        <v>89</v>
      </c>
      <c r="AU46" s="167" t="e">
        <f>$AD$23+10*LOG10(D77)+(10*LOG(D78/50))+10*LOG(D79)-35.6+IF(D87="Yes",0)</f>
        <v>#NUM!</v>
      </c>
      <c r="AV46" s="165"/>
      <c r="AW46" s="167" t="s">
        <v>89</v>
      </c>
      <c r="AX46" s="167" t="e">
        <f>$AD$23+10*LOG10(D95)+(10*LOG(D96/50))+10*LOG(D97)-35.6+IF(D105="Yes",0)</f>
        <v>#NUM!</v>
      </c>
      <c r="AY46" s="165"/>
      <c r="AZ46" s="167" t="s">
        <v>89</v>
      </c>
      <c r="BA46" s="167" t="e">
        <f>$AD$23+10*LOG10(D113)+(10*LOG(D114/50))+10*LOG(D115)-35.6+IF(D123="Yes",0)</f>
        <v>#NUM!</v>
      </c>
      <c r="BB46" s="165"/>
      <c r="BC46" s="165"/>
      <c r="BD46" s="165"/>
    </row>
    <row r="47" spans="1:56" s="161" customFormat="1" x14ac:dyDescent="0.2">
      <c r="A47" s="62"/>
      <c r="B47" s="115"/>
      <c r="C47" s="119" t="str">
        <f>IF($D$18&gt;1,IF($D$12=$AA$10,IF($D39=$AA$15,"Avg. Number of Events/hr",IF($D39=$AA$16,"Avg. Number of Events/hr","")),""),"")</f>
        <v>Avg. Number of Events/hr</v>
      </c>
      <c r="D47" s="120">
        <v>0.7</v>
      </c>
      <c r="E47" s="62"/>
      <c r="F47" s="62"/>
      <c r="G47" s="137"/>
      <c r="H47" s="62"/>
      <c r="I47" s="62"/>
      <c r="J47" s="62"/>
      <c r="K47" s="62"/>
      <c r="L47" s="62"/>
      <c r="M47" s="62"/>
      <c r="N47" s="62"/>
      <c r="O47" s="62"/>
      <c r="P47" s="62"/>
      <c r="Q47" s="62"/>
      <c r="R47" s="62"/>
      <c r="X47" s="165"/>
      <c r="Y47" s="165"/>
      <c r="Z47" s="165"/>
      <c r="AA47" s="164" t="str">
        <f>IF(D$57=$AA$15,AC21,IF(D$57=$AA$16,AC33,IF(D$57=$AA$17,AC45,"")))</f>
        <v>Diesel Electric Locomotive</v>
      </c>
      <c r="AB47" s="165"/>
      <c r="AC47" s="164" t="s">
        <v>56</v>
      </c>
      <c r="AD47" s="164">
        <v>109</v>
      </c>
      <c r="AE47" s="164" t="str">
        <f t="shared" si="2"/>
        <v>Avg. Number of Trains/hr</v>
      </c>
      <c r="AF47" s="164" t="str">
        <f t="shared" si="1"/>
        <v/>
      </c>
      <c r="AG47" s="164" t="s">
        <v>79</v>
      </c>
      <c r="AH47" s="169" t="s">
        <v>99</v>
      </c>
      <c r="AI47" s="164" t="s">
        <v>38</v>
      </c>
      <c r="AJ47" s="169" t="s">
        <v>99</v>
      </c>
      <c r="AK47" s="164" t="s">
        <v>49</v>
      </c>
      <c r="AL47" s="170">
        <f>$AD$48+10*LOG(D23/4)-35.6</f>
        <v>55.379400086720374</v>
      </c>
      <c r="AM47" s="165"/>
      <c r="AN47" s="164" t="s">
        <v>49</v>
      </c>
      <c r="AO47" s="170">
        <f>$AD$48+10*LOG(D41/4)-35.6</f>
        <v>60.150612633917</v>
      </c>
      <c r="AP47" s="170"/>
      <c r="AQ47" s="164" t="s">
        <v>49</v>
      </c>
      <c r="AR47" s="171" t="e">
        <f>$AD$48+10*LOG(D59/4)-35.6</f>
        <v>#NUM!</v>
      </c>
      <c r="AS47" s="165"/>
      <c r="AT47" s="164" t="s">
        <v>49</v>
      </c>
      <c r="AU47" s="171" t="e">
        <f>$AD$48+10*LOG(D77/4)-35.6</f>
        <v>#NUM!</v>
      </c>
      <c r="AV47" s="165"/>
      <c r="AW47" s="164" t="s">
        <v>49</v>
      </c>
      <c r="AX47" s="171" t="e">
        <f>$AD$48+10*LOG(D95/4)-35.6</f>
        <v>#NUM!</v>
      </c>
      <c r="AY47" s="165"/>
      <c r="AZ47" s="164" t="s">
        <v>49</v>
      </c>
      <c r="BA47" s="171" t="e">
        <f>$AD$48+10*LOG(D113/4)-35.6</f>
        <v>#NUM!</v>
      </c>
      <c r="BB47" s="165"/>
      <c r="BC47" s="165"/>
      <c r="BD47" s="165"/>
    </row>
    <row r="48" spans="1:56" s="161" customFormat="1" x14ac:dyDescent="0.2">
      <c r="A48" s="62"/>
      <c r="B48" s="126"/>
      <c r="C48" s="113"/>
      <c r="D48" s="147"/>
      <c r="E48" s="62"/>
      <c r="F48" s="62"/>
      <c r="G48" s="137"/>
      <c r="H48" s="62"/>
      <c r="I48" s="62"/>
      <c r="J48" s="62"/>
      <c r="K48" s="62"/>
      <c r="L48" s="62"/>
      <c r="M48" s="62"/>
      <c r="N48" s="62"/>
      <c r="O48" s="62"/>
      <c r="P48" s="62"/>
      <c r="Q48" s="62"/>
      <c r="R48" s="62"/>
      <c r="X48" s="165"/>
      <c r="Y48" s="165"/>
      <c r="Z48" s="165"/>
      <c r="AA48" s="164" t="str">
        <f>IF(D$57=$AA$15,AC22,IF(D$57=$AA$16,AC34,IF(D$57=$AA$17,AC46,"")))</f>
        <v>Diesel Multiple Unit (DMU)</v>
      </c>
      <c r="AB48" s="165"/>
      <c r="AC48" s="164" t="s">
        <v>49</v>
      </c>
      <c r="AD48" s="164">
        <v>97</v>
      </c>
      <c r="AE48" s="164" t="str">
        <f t="shared" si="2"/>
        <v>Avg. Number Ferry Landings/hr</v>
      </c>
      <c r="AF48" s="164" t="str">
        <f t="shared" si="1"/>
        <v/>
      </c>
      <c r="AG48" s="164" t="s">
        <v>80</v>
      </c>
      <c r="AH48" s="169" t="s">
        <v>99</v>
      </c>
      <c r="AI48" s="164" t="s">
        <v>39</v>
      </c>
      <c r="AJ48" s="169" t="s">
        <v>99</v>
      </c>
      <c r="AK48" s="164" t="s">
        <v>50</v>
      </c>
      <c r="AL48" s="170">
        <f>$AD$49+10*LOG(D23/4)-35.6</f>
        <v>58.379400086720374</v>
      </c>
      <c r="AM48" s="165"/>
      <c r="AN48" s="164" t="s">
        <v>50</v>
      </c>
      <c r="AO48" s="170">
        <f>$AD$49+10*LOG(D41/4)-35.6</f>
        <v>63.150612633917</v>
      </c>
      <c r="AP48" s="170"/>
      <c r="AQ48" s="164" t="s">
        <v>50</v>
      </c>
      <c r="AR48" s="171" t="e">
        <f>$AD$49+10*LOG(D59/4)-35.6</f>
        <v>#NUM!</v>
      </c>
      <c r="AS48" s="165"/>
      <c r="AT48" s="164" t="s">
        <v>50</v>
      </c>
      <c r="AU48" s="171" t="e">
        <f>$AD$49+10*LOG(D77/4)-35.6</f>
        <v>#NUM!</v>
      </c>
      <c r="AV48" s="165"/>
      <c r="AW48" s="164" t="s">
        <v>50</v>
      </c>
      <c r="AX48" s="171" t="e">
        <f>$AD$49+10*LOG(D95/4)-35.6</f>
        <v>#NUM!</v>
      </c>
      <c r="AY48" s="165"/>
      <c r="AZ48" s="164" t="s">
        <v>50</v>
      </c>
      <c r="BA48" s="171" t="e">
        <f>$AD$49+10*LOG(D113/4)-35.6</f>
        <v>#NUM!</v>
      </c>
      <c r="BB48" s="165"/>
      <c r="BC48" s="165"/>
      <c r="BD48" s="165"/>
    </row>
    <row r="49" spans="1:56" s="161" customFormat="1" x14ac:dyDescent="0.2">
      <c r="A49" s="62"/>
      <c r="B49" s="127" t="s">
        <v>19</v>
      </c>
      <c r="C49" s="128" t="str">
        <f>IF($D$18&gt;1,"Distance from Source to Receiver (ft)","")</f>
        <v>Distance from Source to Receiver (ft)</v>
      </c>
      <c r="D49" s="152">
        <v>50</v>
      </c>
      <c r="E49" s="62"/>
      <c r="F49" s="62"/>
      <c r="G49" s="137"/>
      <c r="H49" s="62"/>
      <c r="I49" s="62"/>
      <c r="J49" s="62"/>
      <c r="K49" s="62"/>
      <c r="L49" s="62"/>
      <c r="M49" s="62"/>
      <c r="N49" s="62"/>
      <c r="O49" s="62"/>
      <c r="P49" s="62"/>
      <c r="Q49" s="62"/>
      <c r="R49" s="62"/>
      <c r="X49" s="165"/>
      <c r="Y49" s="165"/>
      <c r="Z49" s="165"/>
      <c r="AA49" s="164" t="str">
        <f>IF(D$57=$AA$15,AC23,IF(D$57=$AA$16,AC36,IF(D$57=$AA$17,AC48,"")))</f>
        <v>Electric Locomotive</v>
      </c>
      <c r="AB49" s="165"/>
      <c r="AC49" s="164" t="s">
        <v>50</v>
      </c>
      <c r="AD49" s="164">
        <v>100</v>
      </c>
      <c r="AE49" s="164" t="str">
        <f t="shared" si="2"/>
        <v>Avg. Number Ferry Landings/hr</v>
      </c>
      <c r="AF49" s="164" t="str">
        <f t="shared" si="1"/>
        <v/>
      </c>
      <c r="AG49" s="164" t="s">
        <v>80</v>
      </c>
      <c r="AH49" s="169" t="s">
        <v>99</v>
      </c>
      <c r="AI49" s="164" t="s">
        <v>39</v>
      </c>
      <c r="AJ49" s="169" t="s">
        <v>99</v>
      </c>
      <c r="AK49" s="164" t="s">
        <v>56</v>
      </c>
      <c r="AL49" s="170">
        <f>$AD$47+10*LOG(D23)-35.6+IF(D33="Yes",-5)</f>
        <v>73.400000000000006</v>
      </c>
      <c r="AM49" s="165"/>
      <c r="AN49" s="164" t="s">
        <v>56</v>
      </c>
      <c r="AO49" s="170">
        <f>$AD$47+10*LOG(D41)-35.6+IF(D51="Yes",-5)</f>
        <v>78.171212547196632</v>
      </c>
      <c r="AP49" s="170"/>
      <c r="AQ49" s="167" t="s">
        <v>56</v>
      </c>
      <c r="AR49" s="171" t="e">
        <f>$AD$47+10*LOG(D59)-35.6+IF(D69="Yes",-5)</f>
        <v>#NUM!</v>
      </c>
      <c r="AS49" s="165"/>
      <c r="AT49" s="167" t="s">
        <v>56</v>
      </c>
      <c r="AU49" s="171" t="e">
        <f>$AD$47+10*LOG(D77)-35.6+IF(D87="Yes",-5)</f>
        <v>#NUM!</v>
      </c>
      <c r="AV49" s="165"/>
      <c r="AW49" s="167" t="s">
        <v>56</v>
      </c>
      <c r="AX49" s="171" t="e">
        <f>$AD$47+10*LOG(D95)-35.6+IF(D105="Yes",-5)</f>
        <v>#NUM!</v>
      </c>
      <c r="AY49" s="165"/>
      <c r="AZ49" s="167" t="s">
        <v>56</v>
      </c>
      <c r="BA49" s="171" t="e">
        <f>$AD$47+10*LOG(D113)-35.6+IF(D123="Yes",-5)</f>
        <v>#NUM!</v>
      </c>
      <c r="BB49" s="165"/>
      <c r="BC49" s="165"/>
      <c r="BD49" s="165"/>
    </row>
    <row r="50" spans="1:56" s="161" customFormat="1" x14ac:dyDescent="0.2">
      <c r="A50" s="62"/>
      <c r="B50" s="146"/>
      <c r="C50" s="131" t="str">
        <f>IF($D$18&gt;1,"Number of Intervening Rows of Buildings","")</f>
        <v>Number of Intervening Rows of Buildings</v>
      </c>
      <c r="D50" s="151">
        <v>1</v>
      </c>
      <c r="E50" s="62"/>
      <c r="F50" s="62"/>
      <c r="G50" s="62"/>
      <c r="H50" s="62"/>
      <c r="I50" s="62"/>
      <c r="J50" s="62"/>
      <c r="K50" s="62"/>
      <c r="L50" s="62"/>
      <c r="M50" s="62"/>
      <c r="N50" s="62"/>
      <c r="O50" s="62"/>
      <c r="P50" s="62"/>
      <c r="Q50" s="62"/>
      <c r="R50" s="62"/>
      <c r="X50" s="165"/>
      <c r="Y50" s="165"/>
      <c r="Z50" s="165"/>
      <c r="AA50" s="164" t="str">
        <f>IF(D$57=$AA$15,AC24,IF(D$57=$AA$16,AC42,IF(D$57=$AA$17,AC49,"")))</f>
        <v>Locomotive Warning Horn</v>
      </c>
      <c r="AB50" s="165"/>
      <c r="AC50" s="160" t="s">
        <v>116</v>
      </c>
      <c r="AD50" s="160">
        <v>92</v>
      </c>
      <c r="AE50" s="164" t="str">
        <f t="shared" si="2"/>
        <v>Avg. Number of Autos/hr</v>
      </c>
      <c r="AF50" s="164" t="str">
        <f t="shared" si="1"/>
        <v/>
      </c>
      <c r="AG50" s="164" t="s">
        <v>117</v>
      </c>
      <c r="AH50" s="169" t="s">
        <v>99</v>
      </c>
      <c r="AI50" s="160" t="s">
        <v>40</v>
      </c>
      <c r="AJ50" s="169" t="s">
        <v>99</v>
      </c>
      <c r="AK50" s="164" t="s">
        <v>55</v>
      </c>
      <c r="AL50" s="170">
        <f>$AD$24+10*LOG(D25)-35.6</f>
        <v>78.871580313422186</v>
      </c>
      <c r="AM50" s="165"/>
      <c r="AN50" s="164" t="s">
        <v>55</v>
      </c>
      <c r="AO50" s="170">
        <f>$AD$24+10*LOG(D43)-35.6</f>
        <v>78.871580313422186</v>
      </c>
      <c r="AP50" s="170"/>
      <c r="AQ50" s="167" t="s">
        <v>55</v>
      </c>
      <c r="AR50" s="171">
        <f>$AD$24+10*LOG(D61)-35.6</f>
        <v>71.074529528899546</v>
      </c>
      <c r="AS50" s="165"/>
      <c r="AT50" s="167" t="s">
        <v>55</v>
      </c>
      <c r="AU50" s="171">
        <f>$AD$24+10*LOG(D79)-35.6</f>
        <v>74.400000000000006</v>
      </c>
      <c r="AV50" s="165"/>
      <c r="AW50" s="167" t="s">
        <v>55</v>
      </c>
      <c r="AX50" s="171" t="e">
        <f>$AD$24+10*LOG(D97)-35.6</f>
        <v>#NUM!</v>
      </c>
      <c r="AY50" s="165"/>
      <c r="AZ50" s="167" t="s">
        <v>55</v>
      </c>
      <c r="BA50" s="171" t="e">
        <f>$AD$24+10*LOG(D115)-35.6</f>
        <v>#NUM!</v>
      </c>
      <c r="BB50" s="165"/>
      <c r="BC50" s="165"/>
      <c r="BD50" s="165"/>
    </row>
    <row r="51" spans="1:56" s="161" customFormat="1" x14ac:dyDescent="0.2">
      <c r="A51" s="62"/>
      <c r="B51" s="115" t="s">
        <v>102</v>
      </c>
      <c r="C51" s="133" t="str">
        <f>IF(ISNUMBER(MATCH($D39,$AA$16:$AA$17,0)),"Noise Barrier?",IF(ISNUMBER(MATCH($D40,$AC$9:$AC$14,0)),"Noise Barrier?",""))</f>
        <v>Noise Barrier?</v>
      </c>
      <c r="D51" s="153" t="s">
        <v>134</v>
      </c>
      <c r="E51" s="62"/>
      <c r="F51" s="62"/>
      <c r="G51" s="137"/>
      <c r="H51" s="62"/>
      <c r="I51" s="62"/>
      <c r="J51" s="62"/>
      <c r="K51" s="62"/>
      <c r="L51" s="62"/>
      <c r="M51" s="62"/>
      <c r="N51" s="62"/>
      <c r="O51" s="62"/>
      <c r="P51" s="62"/>
      <c r="Q51" s="62"/>
      <c r="R51" s="62"/>
      <c r="AA51" s="164" t="str">
        <f>IF(D$57=$AA$15,AC25,IF(D$57=$AA$16,AC38,IF(D$57=$AA$17,AC47,"")))</f>
        <v>Monorail</v>
      </c>
      <c r="AC51" s="160" t="s">
        <v>142</v>
      </c>
      <c r="AD51" s="160">
        <v>101</v>
      </c>
      <c r="AE51" s="160" t="str">
        <f t="shared" si="2"/>
        <v>Avg. Number of Autos/hr</v>
      </c>
      <c r="AF51" s="164" t="str">
        <f t="shared" si="1"/>
        <v>Avg. Number of Buses/hr</v>
      </c>
      <c r="AG51" s="160" t="s">
        <v>117</v>
      </c>
      <c r="AH51" s="160" t="s">
        <v>78</v>
      </c>
      <c r="AI51" s="160" t="s">
        <v>40</v>
      </c>
      <c r="AJ51" s="160" t="s">
        <v>36</v>
      </c>
      <c r="AK51" s="160" t="s">
        <v>151</v>
      </c>
      <c r="AL51" s="173">
        <f>$AD$26+10*LOG(D23)+20*LOG(D24/50)+10*LOG(D25)-35.6+IF(D33="Yes",0)</f>
        <v>38.933380053261068</v>
      </c>
      <c r="AN51" s="160" t="s">
        <v>151</v>
      </c>
      <c r="AO51" s="173">
        <f>$AD$26+10*LOG(D41)+20*LOG(D42/50)+10*LOG(D43)-35.6+IF(D51="Yes",0)</f>
        <v>43.704592600457694</v>
      </c>
      <c r="AP51" s="173"/>
      <c r="AQ51" s="174" t="s">
        <v>151</v>
      </c>
      <c r="AR51" s="175" t="e">
        <f>$AD$26+10*LOG(D59)+20*LOG(D60/50)+10*LOG(D61)-35.6+IF(D69="Yes",0)</f>
        <v>#NUM!</v>
      </c>
      <c r="AT51" s="174" t="s">
        <v>151</v>
      </c>
      <c r="AU51" s="175" t="e">
        <f>$AD$26+10*LOG(D77)+20*LOG(D78/50)+10*LOG(D79)-35.6+IF(D87="Yes",0)</f>
        <v>#NUM!</v>
      </c>
      <c r="AW51" s="174" t="s">
        <v>151</v>
      </c>
      <c r="AX51" s="175" t="e">
        <f>$AD$26+10*LOG(D95)+20*LOG(D96/50)+10*LOG(D97)-35.6+IF(D105="Yes",0)</f>
        <v>#NUM!</v>
      </c>
      <c r="AZ51" s="174" t="s">
        <v>151</v>
      </c>
      <c r="BA51" s="175" t="e">
        <f>$AD$26+10*LOG(D113)+20*LOG(D114/50)+10*LOG(D115)-35.6+IF(D123="Yes",0)</f>
        <v>#NUM!</v>
      </c>
    </row>
    <row r="52" spans="1:56" s="161" customFormat="1" x14ac:dyDescent="0.2">
      <c r="A52" s="62"/>
      <c r="B52" s="115"/>
      <c r="C52" s="119" t="str">
        <f>IF(ISNUMBER(MATCH(D40,$AC$27:$AC$29,0)),IF(D49&lt;=300,"Joint Track/Crossover?",""),"")</f>
        <v>Joint Track/Crossover?</v>
      </c>
      <c r="D52" s="149" t="s">
        <v>134</v>
      </c>
      <c r="E52" s="62"/>
      <c r="F52" s="62"/>
      <c r="G52" s="137"/>
      <c r="H52" s="62"/>
      <c r="I52" s="62"/>
      <c r="J52" s="62"/>
      <c r="K52" s="62"/>
      <c r="L52" s="62"/>
      <c r="M52" s="62"/>
      <c r="N52" s="62"/>
      <c r="O52" s="62"/>
      <c r="P52" s="62"/>
      <c r="Q52" s="62"/>
      <c r="R52" s="62"/>
      <c r="AA52" s="164" t="str">
        <f>IF(D$57=$AA$15,AC26,IF(D$57=$AA$16,AC39,IF(D$57=$AA$17,AC50,"")))</f>
        <v>Maglev</v>
      </c>
      <c r="AC52" s="160" t="s">
        <v>54</v>
      </c>
      <c r="AD52" s="160">
        <v>118</v>
      </c>
      <c r="AE52" s="160" t="str">
        <f t="shared" si="2"/>
        <v>Avg. Number of Trains/hr</v>
      </c>
      <c r="AF52" s="164" t="str">
        <f t="shared" si="1"/>
        <v/>
      </c>
      <c r="AG52" s="160" t="s">
        <v>79</v>
      </c>
      <c r="AH52" s="176" t="s">
        <v>99</v>
      </c>
      <c r="AI52" s="160" t="s">
        <v>38</v>
      </c>
      <c r="AJ52" s="176" t="s">
        <v>99</v>
      </c>
      <c r="AK52" s="160" t="s">
        <v>150</v>
      </c>
      <c r="AL52" s="173">
        <f>$AD$25+10*LOG(D23)+20*LOG(D24/50)+10*LOG(D25)-35.6+IF(D33="Yes",-5)</f>
        <v>48.933380053261068</v>
      </c>
      <c r="AN52" s="160" t="s">
        <v>150</v>
      </c>
      <c r="AO52" s="173">
        <f>$AD$25+10*LOG(D41)+20*LOG(D42/50)+10*LOG(D43)-35.6+IF(D51="Yes",-5)</f>
        <v>53.704592600457694</v>
      </c>
      <c r="AP52" s="173"/>
      <c r="AQ52" s="174" t="s">
        <v>150</v>
      </c>
      <c r="AR52" s="175" t="e">
        <f>$AD$25+10*LOG(D59)+20*LOG(D60/50)+10*LOG(D61)-35.6+IF(D69="Yes",-5)</f>
        <v>#NUM!</v>
      </c>
      <c r="AT52" s="174" t="s">
        <v>150</v>
      </c>
      <c r="AU52" s="175" t="e">
        <f>$AD$25+10*LOG(D77)+20*LOG(D78/50)+10*LOG(D79)-35.6+IF(D87="Yes",-5)</f>
        <v>#NUM!</v>
      </c>
      <c r="AW52" s="174" t="s">
        <v>150</v>
      </c>
      <c r="AX52" s="175" t="e">
        <f>$AD$25+10*LOG(D95)+20*LOG(D96/50)+10*LOG(D97)-35.6+IF(D105="Yes",-5)</f>
        <v>#NUM!</v>
      </c>
      <c r="AZ52" s="174" t="s">
        <v>150</v>
      </c>
      <c r="BA52" s="175" t="e">
        <f>$AD$25+10*LOG(D113)+20*LOG(D114/50)+10*LOG(D115)-35.6+IF(D123="Yes",-5)</f>
        <v>#NUM!</v>
      </c>
    </row>
    <row r="53" spans="1:56" s="161" customFormat="1" x14ac:dyDescent="0.2">
      <c r="A53" s="62"/>
      <c r="B53" s="115"/>
      <c r="C53" s="119" t="str">
        <f>IF(ISNUMBER(MATCH(D40,$AC$27:$AC$29,0)),"Embedded Track?","")</f>
        <v>Embedded Track?</v>
      </c>
      <c r="D53" s="149" t="s">
        <v>134</v>
      </c>
      <c r="E53" s="62"/>
      <c r="F53" s="62"/>
      <c r="G53" s="137"/>
      <c r="H53" s="62"/>
      <c r="I53" s="62"/>
      <c r="J53" s="62"/>
      <c r="K53" s="62"/>
      <c r="L53" s="62"/>
      <c r="M53" s="62"/>
      <c r="N53" s="62"/>
      <c r="O53" s="62"/>
      <c r="P53" s="62"/>
      <c r="Q53" s="62"/>
      <c r="R53" s="62"/>
      <c r="AA53" s="164" t="str">
        <f>IF(D$57=$AA$15,AC27,IF(D$57=$AA$16,AC40,IF(D$57=$AA$17,AC51,"")))</f>
        <v>Rail Car</v>
      </c>
      <c r="AC53" s="169" t="s">
        <v>101</v>
      </c>
      <c r="AE53" s="160"/>
      <c r="AF53" s="164" t="str">
        <f t="shared" si="1"/>
        <v/>
      </c>
      <c r="AG53" s="160"/>
      <c r="AH53" s="176"/>
      <c r="AI53" s="160"/>
      <c r="AJ53" s="176"/>
      <c r="AK53" s="160" t="s">
        <v>116</v>
      </c>
      <c r="AL53" s="173">
        <f>$AD$50+10*LOG(D23/1000)-35.6+IF(D33="Yes",-5)</f>
        <v>26.4</v>
      </c>
      <c r="AN53" s="160" t="s">
        <v>116</v>
      </c>
      <c r="AO53" s="173">
        <f>$AD$50+10*LOG(D41/1000)-35.6+IF(D51="Yes",-5)</f>
        <v>31.171212547196625</v>
      </c>
      <c r="AP53" s="173"/>
      <c r="AQ53" s="174" t="s">
        <v>116</v>
      </c>
      <c r="AR53" s="175" t="e">
        <f>$AD$50+10*LOG(D59/1000)-35.6+IF(D69="Yes",-5)</f>
        <v>#NUM!</v>
      </c>
      <c r="AT53" s="174" t="s">
        <v>116</v>
      </c>
      <c r="AU53" s="175" t="e">
        <f>$AD$50+10*LOG(D77/1000)-35.6+IF(D87="Yes",-5)</f>
        <v>#NUM!</v>
      </c>
      <c r="AW53" s="174" t="s">
        <v>116</v>
      </c>
      <c r="AX53" s="175" t="e">
        <f>$AD$50+10*LOG(D95/1000)-35.6+IF(D105="Yes",-5)</f>
        <v>#NUM!</v>
      </c>
      <c r="AZ53" s="174" t="s">
        <v>116</v>
      </c>
      <c r="BA53" s="175" t="e">
        <f>$AD$50+10*LOG(D113/1000)-35.6+IF(D123="Yes",-5)</f>
        <v>#NUM!</v>
      </c>
    </row>
    <row r="54" spans="1:56" s="161" customFormat="1" ht="13.5" thickBot="1" x14ac:dyDescent="0.25">
      <c r="A54" s="62"/>
      <c r="B54" s="138"/>
      <c r="C54" s="139" t="str">
        <f>IF(ISNUMBER(MATCH(D40,$AC$27:$AC$29,0)),"Aerial Structure?","")</f>
        <v>Aerial Structure?</v>
      </c>
      <c r="D54" s="150" t="s">
        <v>134</v>
      </c>
      <c r="E54" s="62"/>
      <c r="F54" s="62"/>
      <c r="G54" s="137"/>
      <c r="H54" s="62"/>
      <c r="I54" s="62"/>
      <c r="J54" s="62"/>
      <c r="K54" s="62"/>
      <c r="L54" s="62"/>
      <c r="M54" s="62"/>
      <c r="N54" s="62"/>
      <c r="O54" s="62"/>
      <c r="P54" s="62"/>
      <c r="Q54" s="62"/>
      <c r="R54" s="62"/>
      <c r="AA54" s="164" t="str">
        <f>IF(D$57=$AA$15,AC28,IF(D$57=$AA$16,AC41,IF(D$57=$AA$17,AC52,"")))</f>
        <v>Rail Transit Vehicle/Streetcar &lt;= 25 mph</v>
      </c>
      <c r="AC54" s="172" t="s">
        <v>101</v>
      </c>
      <c r="AK54" s="160" t="s">
        <v>142</v>
      </c>
      <c r="AL54" s="173">
        <f>$AD$51+10*LOG(D23/2000+D24/24)-35.6+IF(D33="Yes",-5)</f>
        <v>67.619790184215844</v>
      </c>
      <c r="AN54" s="160" t="s">
        <v>142</v>
      </c>
      <c r="AO54" s="173">
        <f>$AD$51+10*LOG(D41/2000+D42/24)-35.6+IF(D51="Yes",-5)</f>
        <v>67.622394388662656</v>
      </c>
      <c r="AP54" s="173"/>
      <c r="AQ54" s="174" t="s">
        <v>142</v>
      </c>
      <c r="AR54" s="175">
        <f>$AD$51+10*LOG(D59/2000+D60/24)-35.6+IF(D69="Yes",-5)</f>
        <v>68.58758762624413</v>
      </c>
      <c r="AT54" s="174" t="s">
        <v>142</v>
      </c>
      <c r="AU54" s="175">
        <f>$AD$51+10*LOG(D77/2000+D78/24)-35.6+IF(D87="Yes",-5)</f>
        <v>68.58758762624413</v>
      </c>
      <c r="AW54" s="174" t="s">
        <v>142</v>
      </c>
      <c r="AX54" s="175" t="e">
        <f>$AD$51+10*LOG(D95/2000+D96/24)-35.6+IF(D105="Yes",-5)</f>
        <v>#NUM!</v>
      </c>
      <c r="AZ54" s="174" t="s">
        <v>142</v>
      </c>
      <c r="BA54" s="175" t="e">
        <f>$AD$51+10*LOG(D113/2000+D114/24)-35.6+IF(D123="Yes",-5)</f>
        <v>#NUM!</v>
      </c>
    </row>
    <row r="55" spans="1:56" s="161" customFormat="1" ht="14.25" thickTop="1" thickBot="1" x14ac:dyDescent="0.25">
      <c r="A55" s="62"/>
      <c r="B55" s="62"/>
      <c r="C55" s="141"/>
      <c r="D55" s="98"/>
      <c r="E55" s="62"/>
      <c r="F55" s="62"/>
      <c r="G55" s="137"/>
      <c r="H55" s="62"/>
      <c r="I55" s="62"/>
      <c r="J55" s="62"/>
      <c r="K55" s="62"/>
      <c r="L55" s="62"/>
      <c r="M55" s="62"/>
      <c r="N55" s="62"/>
      <c r="O55" s="62"/>
      <c r="P55" s="62"/>
      <c r="Q55" s="62"/>
      <c r="R55" s="62"/>
      <c r="AA55" s="164" t="str">
        <f>IF(D$57=$AA$15,AC29,IF(D$57=$AA$16,AC42,IF(D$57=$AA$17,AC53,"")))</f>
        <v>Rail Transit Vehicle/Streetcar &gt; 25 mph</v>
      </c>
      <c r="AC55" s="169" t="s">
        <v>101</v>
      </c>
      <c r="AK55" s="160" t="s">
        <v>124</v>
      </c>
      <c r="AL55" s="173">
        <f>$AD$27+10*LOG(D23)+20*LOG(D24/50)+10*LOG(D25)-35.6+IF(D33="Yes",-5)+IF(D34="Yes",5)+IF(D35="Yes",3)+IF(D36="Yes",4)</f>
        <v>48.933380053261068</v>
      </c>
      <c r="AN55" s="160" t="s">
        <v>124</v>
      </c>
      <c r="AO55" s="173">
        <f>$AD$27+10*LOG(D41)+20*LOG(D42/50)+10*LOG(D43)-35.6+IF(D51="Yes",-5)+IF(D52="Yes",5)+IF(D53="Yes",3)+IF(D54="Yes",4)</f>
        <v>53.704592600457694</v>
      </c>
      <c r="AP55" s="173"/>
      <c r="AQ55" s="174" t="s">
        <v>124</v>
      </c>
      <c r="AR55" s="175" t="e">
        <f>$AD$27+10*LOG(D59)+20*LOG(D60/50)+10*LOG(D61)-35.6+IF(D69="Yes",-5)+IF(D70="Yes",5)+IF(D71="Yes",3)+IF(D72="Yes",4)</f>
        <v>#NUM!</v>
      </c>
      <c r="AT55" s="174" t="s">
        <v>124</v>
      </c>
      <c r="AU55" s="175" t="e">
        <f>$AD$27+10*LOG(D77)+20*LOG(D78/50)+10*LOG(D79)-35.6+IF(D87="Yes",-5)+IF(D88="Yes",5)+IF(D89="Yes",3)+IF(D90="Yes",4)</f>
        <v>#NUM!</v>
      </c>
      <c r="AW55" s="174" t="s">
        <v>124</v>
      </c>
      <c r="AX55" s="175" t="e">
        <f>$AD$27+10*LOG(D95)+20*LOG(D96/50)+10*LOG(D97)-35.6+IF(D105="Yes",-5)+IF(D106="Yes",5)+IF(D107="Yes",3)+IF(D108="Yes",4)</f>
        <v>#NUM!</v>
      </c>
      <c r="AZ55" s="174" t="s">
        <v>124</v>
      </c>
      <c r="BA55" s="175" t="e">
        <f>$AD$27+10*LOG(D113)+20*LOG(D114/50)+10*LOG(D115)-35.6+IF(D123="Yes",-5)+IF(D124="Yes",5)+IF(D125="Yes",3)+IF(D126="Yes",4)</f>
        <v>#NUM!</v>
      </c>
    </row>
    <row r="56" spans="1:56" s="161" customFormat="1" ht="13.5" thickTop="1" x14ac:dyDescent="0.2">
      <c r="A56" s="62"/>
      <c r="B56" s="76" t="str">
        <f>IF($D$18&gt;2,"Noise Source Parameters","")</f>
        <v/>
      </c>
      <c r="C56" s="142"/>
      <c r="D56" s="108" t="str">
        <f>IF($D$18&gt;2,"Source 3","")</f>
        <v/>
      </c>
      <c r="E56" s="66"/>
      <c r="F56" s="62"/>
      <c r="G56" s="137"/>
      <c r="H56" s="62"/>
      <c r="I56" s="62"/>
      <c r="J56" s="62"/>
      <c r="K56" s="62"/>
      <c r="L56" s="62"/>
      <c r="M56" s="62"/>
      <c r="N56" s="62"/>
      <c r="O56" s="62"/>
      <c r="P56" s="62"/>
      <c r="Q56" s="62"/>
      <c r="R56" s="62"/>
      <c r="AA56" s="164" t="str">
        <f>IF(D$57=$AA$15,AC30,IF(D$57=$AA$16,AC42,IF(D$57=$AA$17,AC53,"")))</f>
        <v>Transit warning device</v>
      </c>
      <c r="AC56" s="169" t="s">
        <v>101</v>
      </c>
      <c r="AK56" s="169" t="s">
        <v>177</v>
      </c>
      <c r="AL56" s="173">
        <f>$AD$29+10*LOG(D23)+20*LOG(D24/50)+10*LOG(D25)-35.6+IF(D33="Yes",-5)+IF(D34="Yes",5)+IF(D35="Yes",3)+IF(D36="Yes",4)</f>
        <v>48.933380053261068</v>
      </c>
      <c r="AN56" s="169" t="s">
        <v>177</v>
      </c>
      <c r="AO56" s="173">
        <f>$AD$29+10*LOG(D41)+20*LOG(D42/50)+10*LOG(D43)-35.6+IF(D51="Yes",-5)+IF(D52="Yes",5)+IF(D53="Yes",3)+IF(D54="Yes",4)</f>
        <v>53.704592600457694</v>
      </c>
      <c r="AP56" s="173"/>
      <c r="AQ56" s="169" t="s">
        <v>177</v>
      </c>
      <c r="AR56" s="175" t="e">
        <f>$AD$29+10*LOG(D59)+20*LOG(D60/50)+10*LOG(D61)-35.6+IF(D69="Yes",-5)+IF(D70="Yes",5)+IF(D71="Yes",3)+IF(D72="Yes",4)</f>
        <v>#NUM!</v>
      </c>
      <c r="AT56" s="169" t="s">
        <v>177</v>
      </c>
      <c r="AU56" s="175" t="e">
        <f>$AD$29+10*LOG(D77)+20*LOG(D78/50)+10*LOG(D79)-35.6+IF(D87="Yes",-5)+IF(D88="Yes",5)+IF(D89="Yes",3)+IF(D90="Yes",4)</f>
        <v>#NUM!</v>
      </c>
      <c r="AW56" s="169" t="s">
        <v>177</v>
      </c>
      <c r="AX56" s="175" t="e">
        <f>$AD$29+10*LOG(D95)+20*LOG(D96/50)+10*LOG(D97)-35.6+IF(D105="Yes",-5)+IF(D106="Yes",5)+IF(D107="Yes",3)+IF(D108="Yes",4)</f>
        <v>#NUM!</v>
      </c>
      <c r="AZ56" s="169" t="s">
        <v>177</v>
      </c>
      <c r="BA56" s="175" t="e">
        <f>$AD$29+10*LOG(D113)+20*LOG(D114/50)+10*LOG(D115)-35.6+IF(D123="Yes",-5)+IF(D124="Yes",5)+IF(D125="Yes",3)+IF(D126="Yes",4)</f>
        <v>#NUM!</v>
      </c>
    </row>
    <row r="57" spans="1:56" s="161" customFormat="1" x14ac:dyDescent="0.2">
      <c r="A57" s="62"/>
      <c r="B57" s="109"/>
      <c r="C57" s="145" t="str">
        <f>IF($D$18&gt;2,"Source Type:","")</f>
        <v/>
      </c>
      <c r="D57" s="111" t="s">
        <v>148</v>
      </c>
      <c r="E57" s="62"/>
      <c r="F57" s="62"/>
      <c r="G57" s="137"/>
      <c r="H57" s="62"/>
      <c r="I57" s="62"/>
      <c r="J57" s="62"/>
      <c r="K57" s="62"/>
      <c r="L57" s="62"/>
      <c r="M57" s="62"/>
      <c r="N57" s="62"/>
      <c r="O57" s="62"/>
      <c r="P57" s="62"/>
      <c r="Q57" s="62"/>
      <c r="R57" s="62"/>
      <c r="AC57" s="160" t="s">
        <v>165</v>
      </c>
      <c r="AD57" s="160">
        <v>80</v>
      </c>
      <c r="AK57" s="160" t="s">
        <v>54</v>
      </c>
      <c r="AL57" s="173">
        <f>$AD$52+10*LOG(D23/20)-35.6+IF(D33="Yes",-5)</f>
        <v>69.389700043360193</v>
      </c>
      <c r="AN57" s="160" t="s">
        <v>54</v>
      </c>
      <c r="AO57" s="173">
        <f>$AD$52+10*LOG(D41/20)-35.6+IF(D51="Yes",-5)</f>
        <v>74.160912590556819</v>
      </c>
      <c r="AP57" s="173"/>
      <c r="AQ57" s="174" t="s">
        <v>54</v>
      </c>
      <c r="AR57" s="175" t="e">
        <f>$AD$52+10*LOG(D59/20)-35.6+IF(D69="Yes",-5)+IF(D70="Yes",5)+IF(D71="Yes",3)+IF(D72="Yes",4)</f>
        <v>#NUM!</v>
      </c>
      <c r="AT57" s="174" t="s">
        <v>54</v>
      </c>
      <c r="AU57" s="175" t="e">
        <f>$AD$52+10*LOG(D77/20)-35.6+IF(D87="Yes",-5)</f>
        <v>#NUM!</v>
      </c>
      <c r="AW57" s="174" t="s">
        <v>54</v>
      </c>
      <c r="AX57" s="175" t="e">
        <f>$AD$52+10*LOG(D95/20)-35.6+IF(D105="Yes",-5)</f>
        <v>#NUM!</v>
      </c>
      <c r="AZ57" s="174" t="s">
        <v>54</v>
      </c>
      <c r="BA57" s="175" t="e">
        <f>$AD$52+10*LOG(D113/20)-35.6+IF(D123="Yes",-5)</f>
        <v>#NUM!</v>
      </c>
    </row>
    <row r="58" spans="1:56" s="161" customFormat="1" ht="13.5" thickBot="1" x14ac:dyDescent="0.25">
      <c r="A58" s="62"/>
      <c r="B58" s="112"/>
      <c r="C58" s="131" t="str">
        <f>IF($D$18&gt;2,"Specific Source:","")</f>
        <v/>
      </c>
      <c r="D58" s="114" t="s">
        <v>149</v>
      </c>
      <c r="E58" s="62"/>
      <c r="F58" s="62"/>
      <c r="G58" s="71" t="str">
        <f>IF($D$18&gt;2,"Source 3  Results","")</f>
        <v/>
      </c>
      <c r="H58" s="62"/>
      <c r="I58" s="62"/>
      <c r="J58" s="62"/>
      <c r="K58" s="62"/>
      <c r="L58" s="62"/>
      <c r="M58" s="62"/>
      <c r="N58" s="62"/>
      <c r="O58" s="62"/>
      <c r="P58" s="62"/>
      <c r="Q58" s="62"/>
      <c r="R58" s="62"/>
      <c r="Z58" s="160">
        <v>4</v>
      </c>
      <c r="AA58" s="160" t="str">
        <f>IF(D$75=$AA$15,AC19,IF(D$75=$AA$16,AC31,IF(D$75=$AA$17,AC43,"")))</f>
        <v>Automobiles and Vans</v>
      </c>
      <c r="AC58" s="160" t="s">
        <v>70</v>
      </c>
      <c r="AD58" s="160">
        <v>70</v>
      </c>
      <c r="AK58" s="160" t="s">
        <v>149</v>
      </c>
      <c r="AL58" s="173">
        <f>$AD$30-10*LOG(D24/50)+10*LOG(D25)-35.6</f>
        <v>62.840680443502755</v>
      </c>
      <c r="AN58" s="160" t="s">
        <v>149</v>
      </c>
      <c r="AO58" s="173">
        <f>$AD$30-10*LOG(D42/50)+10*LOG(D43)-35.6</f>
        <v>62.840680443502755</v>
      </c>
      <c r="AP58" s="173"/>
      <c r="AQ58" s="174" t="s">
        <v>149</v>
      </c>
      <c r="AR58" s="175">
        <f>$AD$30-10*LOG(D60/50)+10*LOG(D61)-35.6</f>
        <v>54.074529528899539</v>
      </c>
      <c r="AT58" s="174" t="s">
        <v>149</v>
      </c>
      <c r="AU58" s="175">
        <f>$AD$30-10*LOG(D78/50)+10*LOG(D79)-35.6</f>
        <v>57.4</v>
      </c>
      <c r="AW58" s="174" t="s">
        <v>149</v>
      </c>
      <c r="AX58" s="175" t="e">
        <f>$AD$30-10*LOG(D96/50)+10*LOG(D97)-35.6</f>
        <v>#NUM!</v>
      </c>
      <c r="AZ58" s="174" t="s">
        <v>149</v>
      </c>
      <c r="BA58" s="175" t="e">
        <f>$AD$30-10*LOG(D114/50)+10*LOG(D115)-35.6</f>
        <v>#NUM!</v>
      </c>
    </row>
    <row r="59" spans="1:56" s="161" customFormat="1" ht="15" thickTop="1" x14ac:dyDescent="0.2">
      <c r="A59" s="62"/>
      <c r="B59" s="115" t="str">
        <f>IF($D$18&gt;2,IF(D12=AA10,"Daytime hrs","Noisiest hr of"),"")</f>
        <v/>
      </c>
      <c r="C59" s="110" t="str">
        <f>IF($D$18&gt;2,IF($D57=$AA$16,"",INDEX(Parameters,MATCH($D$58,$AC$19:$AC$52,0),3)),"")</f>
        <v/>
      </c>
      <c r="D59" s="116"/>
      <c r="E59" s="62"/>
      <c r="F59" s="62"/>
      <c r="G59" s="117" t="str">
        <f>IF($D$18&gt;2,IF($D$12=$AA$10,"Leq(day):","Leqh:"),"")</f>
        <v/>
      </c>
      <c r="H59" s="118" t="str">
        <f>IF($D$18&gt;2,IF(ISERROR(INDEX(LeqDay,MATCH($D58,$AK$33:$AK$59,0),8)),0,INDEX(LeqDay,MATCH($D58,$AK$33:$AK$59,0),8)+IF(Calculations!D57=Calculations!$AA$17,-25*LOG(Calculations!D67/50),-15*LOG(Calculations!D67/50))-MIN(10,IF(D68&gt;0,IF(D68=1,4.5,4.5+((D68-1)*1.5)),0))),"")</f>
        <v/>
      </c>
      <c r="I59" s="62"/>
      <c r="J59" s="62"/>
      <c r="K59" s="62"/>
      <c r="L59" s="62"/>
      <c r="M59" s="62"/>
      <c r="N59" s="62"/>
      <c r="O59" s="62"/>
      <c r="P59" s="62"/>
      <c r="Q59" s="62"/>
      <c r="R59" s="62"/>
      <c r="AA59" s="160" t="str">
        <f>IF(D$75=$AA$15,AC20,IF(D$75=$AA$16,AC32,IF(D$75=$AA$17,AC44,"")))</f>
        <v>Buses (diesel-powered)</v>
      </c>
      <c r="AC59" s="160" t="s">
        <v>69</v>
      </c>
      <c r="AD59" s="160">
        <v>60</v>
      </c>
      <c r="AK59" s="164" t="s">
        <v>175</v>
      </c>
      <c r="AL59" s="177">
        <f>$AD$28+10*LOG(D23)+2*LOG(D24/25)+10*LOG(D25)-35.6+IF(D33="Yes",-5)+IF(D34="Yes",5)+IF(D35="Yes",3)+IF(D36="Yes",4)</f>
        <v>45.279820278734043</v>
      </c>
      <c r="AN59" s="164" t="s">
        <v>175</v>
      </c>
      <c r="AO59" s="177">
        <f>$AD$28+10*LOG(D41)+2*LOG(D42/25)+10*LOG(D43)-35.6+IF(D51="Yes",-5)+IF(D52="Yes",5)+IF(D53="Yes",3)+IF(D54="Yes",4)</f>
        <v>50.051032825930669</v>
      </c>
      <c r="AQ59" s="164" t="s">
        <v>175</v>
      </c>
      <c r="AR59" s="161" t="e">
        <f>$AD$29+10*LOG(D59)+2*LOG(D60/25)+10*LOG(D61)-35.6+IF(D69="Yes",-5)+IF(D70="Yes",5)+IF(D71="Yes",3)+IF(D72="Yes",4)</f>
        <v>#NUM!</v>
      </c>
      <c r="AT59" s="164" t="s">
        <v>175</v>
      </c>
      <c r="AU59" s="161" t="e">
        <f>$AD$29+10*LOG(D77)+2*LOG(D78/25)+10*LOG(D79)-35.6+IF(D87="Yes",-5)+IF(D88="Yes",5)+IF(D89="Yes",3)+IF(D90="Yes",4)</f>
        <v>#NUM!</v>
      </c>
      <c r="AW59" s="164" t="s">
        <v>175</v>
      </c>
      <c r="AX59" s="161" t="e">
        <f>$AD$28+10*LOG(D95)+2*LOG(D96/25)+10*LOG(D97)-35.6+IF(D105="Yes",-5)+IF(D106="Yes",5)+IF(D107="Yes",3)+IF(D108="Yes",4)</f>
        <v>#NUM!</v>
      </c>
      <c r="AZ59" s="164" t="s">
        <v>175</v>
      </c>
      <c r="BA59" s="161" t="e">
        <f>$AD$29+10*LOG(D113)+2*LOG(D114/25)+10*LOG(D115)-35.6+IF(D123="Yes",-5)+IF(D124="Yes",5)+IF(D125="Yes",3)+IF(D126="Yes",4)</f>
        <v>#NUM!</v>
      </c>
    </row>
    <row r="60" spans="1:56" s="161" customFormat="1" ht="14.25" x14ac:dyDescent="0.2">
      <c r="A60" s="62"/>
      <c r="B60" s="115" t="str">
        <f>IF($D$18&gt;2,IF($D$12=$AA$10,"","Activity During"),"")</f>
        <v/>
      </c>
      <c r="C60" s="119" t="str">
        <f>IF($D$18&gt;2,IF(D57=$AA$17,INDEX(Parameters,MATCH($D$22,$AC$19:$AC$52,0),4),"Speed (mph)"),"")</f>
        <v/>
      </c>
      <c r="D60" s="120">
        <v>50</v>
      </c>
      <c r="E60" s="62"/>
      <c r="F60" s="62"/>
      <c r="G60" s="121" t="str">
        <f>IF($D$18&gt;2,IF($D$12=$AA$10,"Leq(night):",""),"")</f>
        <v/>
      </c>
      <c r="H60" s="122" t="str">
        <f>IF($D$18&gt;2,IF($D$12=$AA$10,IF(ISERROR(INDEX(LeqNight,MATCH($D58,$AK$33:$AK$59,0),8)),0,INDEX(LeqNight,MATCH($D58,$AK$33:$AK$59,0),8)+IF(Calculations!D57=Calculations!$AA$17,-25*LOG(Calculations!D67/50),-15*LOG(Calculations!D67/50))-MIN(10,IF(D68&gt;0,IF(D68=1,4.5,4.5+((D68-1)*1.5)),0))),""),"")</f>
        <v/>
      </c>
      <c r="I60" s="62"/>
      <c r="J60" s="62"/>
      <c r="K60" s="62"/>
      <c r="L60" s="62"/>
      <c r="M60" s="62"/>
      <c r="N60" s="62"/>
      <c r="O60" s="62"/>
      <c r="P60" s="62"/>
      <c r="Q60" s="62"/>
      <c r="R60" s="62"/>
      <c r="AA60" s="160" t="str">
        <f>IF(D$75=$AA$15,AC21,IF(D$75=$AA$16,AC33,IF(D$75=$AA$17,AC45,"")))</f>
        <v>Buses (electric)</v>
      </c>
      <c r="AC60" s="160" t="s">
        <v>127</v>
      </c>
      <c r="AD60" s="160">
        <v>50</v>
      </c>
      <c r="AL60" s="160"/>
    </row>
    <row r="61" spans="1:56" s="161" customFormat="1" ht="14.25" x14ac:dyDescent="0.2">
      <c r="A61" s="62"/>
      <c r="B61" s="115" t="str">
        <f>IF($D$18&gt;2,IF($D$12=$AA$10,"","Sensitive hrs"),"")</f>
        <v/>
      </c>
      <c r="C61" s="119" t="str">
        <f>IF($D$18&gt;2,IF($D$12=$AA$10,IF($D57=$AA$15,"Avg. Number of Events/hr",IF($D57=$AA$16,"Avg. Number of Events/hr","")),IF($D57=$AA$15,"Number of Events/hr",IF($D57=$AA$16,"Number of Events/hr",""))),"")</f>
        <v/>
      </c>
      <c r="D61" s="120">
        <f>0.93/2</f>
        <v>0.46500000000000002</v>
      </c>
      <c r="E61" s="62"/>
      <c r="F61" s="62"/>
      <c r="G61" s="121" t="str">
        <f>IF($D$18&gt;2,IF($D$12=$AA$10,"Ldn:",""),"")</f>
        <v/>
      </c>
      <c r="H61" s="122" t="str">
        <f>IF($D$18&gt;2,IF($D$12=$AA$10,10*LOG(15*10^(H59/10)+9*10^((H60+10)/10))-13.8,""),"")</f>
        <v/>
      </c>
      <c r="I61" s="62"/>
      <c r="J61" s="62"/>
      <c r="K61" s="62"/>
      <c r="L61" s="62"/>
      <c r="M61" s="62"/>
      <c r="N61" s="62"/>
      <c r="O61" s="62"/>
      <c r="P61" s="62"/>
      <c r="Q61" s="62"/>
      <c r="R61" s="62"/>
      <c r="AA61" s="160" t="str">
        <f>IF(D$75=$AA$15,AC22,IF(D$75=$AA$16,AC34,IF(D$75=$AA$17,AC46,"")))</f>
        <v>Buses (hybrid)</v>
      </c>
      <c r="AC61" s="160" t="s">
        <v>26</v>
      </c>
      <c r="AD61" s="160">
        <v>55</v>
      </c>
      <c r="AK61" s="160" t="s">
        <v>147</v>
      </c>
      <c r="AN61" s="160" t="s">
        <v>147</v>
      </c>
      <c r="AQ61" s="174" t="s">
        <v>147</v>
      </c>
      <c r="AT61" s="174" t="s">
        <v>147</v>
      </c>
      <c r="AW61" s="174" t="s">
        <v>147</v>
      </c>
      <c r="AZ61" s="174" t="s">
        <v>147</v>
      </c>
    </row>
    <row r="62" spans="1:56" s="161" customFormat="1" ht="15" thickBot="1" x14ac:dyDescent="0.25">
      <c r="A62" s="62"/>
      <c r="B62" s="126"/>
      <c r="C62" s="113"/>
      <c r="D62" s="147"/>
      <c r="E62" s="62"/>
      <c r="F62" s="62"/>
      <c r="G62" s="124" t="str">
        <f>IF($D$18&gt;2,IF($D$12=$AA$10,"Incremental Ldn (Src 1-3):","Incremental Leqh (Src 1-3):"),"")</f>
        <v/>
      </c>
      <c r="H62" s="125" t="str">
        <f>IF($D$18&gt;2,IF($D$12=$AA$10,10*LOG10(10^(H25/10)+10^(H43/10)+10^(H61/10)),10*LOG10(10^(H23/10)+10^(H41/10)+10^(H59/10))),"")</f>
        <v/>
      </c>
      <c r="I62" s="62"/>
      <c r="J62" s="62"/>
      <c r="K62" s="62"/>
      <c r="L62" s="62"/>
      <c r="M62" s="62"/>
      <c r="N62" s="62"/>
      <c r="O62" s="62"/>
      <c r="P62" s="62"/>
      <c r="Q62" s="62"/>
      <c r="R62" s="62"/>
      <c r="AA62" s="160" t="str">
        <f>IF(D$75=$AA$15,AC23,IF(D$75=$AA$16,AC36,IF(D$75=$AA$17,AC48,"")))</f>
        <v>--</v>
      </c>
      <c r="AC62" s="160" t="s">
        <v>167</v>
      </c>
      <c r="AK62" s="160" t="s">
        <v>171</v>
      </c>
      <c r="AL62" s="173">
        <f>$AD$19+10*LOG(D27)+20*LOG(D28/50)+10*LOG(D29)-35.6+IF(D33="Yes",-5)</f>
        <v>38.912780139981443</v>
      </c>
      <c r="AN62" s="160" t="s">
        <v>171</v>
      </c>
      <c r="AO62" s="173">
        <f>$AD$19+10*LOG(D45)+20*LOG(D46/50)+10*LOG(D47)-35.6+IF(D51="Yes",-5)</f>
        <v>43.683992687178069</v>
      </c>
      <c r="AQ62" s="160" t="s">
        <v>171</v>
      </c>
      <c r="AR62" s="174" t="e">
        <f>$AD$19+10*LOG(D63)+20*LOG(D64/50)+10*LOG(D65)-35.6+IF(D69="Yes",-5)</f>
        <v>#NUM!</v>
      </c>
      <c r="AT62" s="160" t="s">
        <v>171</v>
      </c>
      <c r="AU62" s="174" t="e">
        <f>$AD$19+10*LOG(D81)+20*LOG(D82/50)+10*LOG(D83)-35.6+IF(D87="Yes",-5)</f>
        <v>#NUM!</v>
      </c>
      <c r="AW62" s="160" t="s">
        <v>171</v>
      </c>
      <c r="AX62" s="174" t="e">
        <f>$AD$19+10*LOG(D99)+20*LOG(D100/50)+10*LOG(D101)-35.6+IF(D105="Yes",-5)</f>
        <v>#NUM!</v>
      </c>
      <c r="AZ62" s="160" t="s">
        <v>171</v>
      </c>
      <c r="BA62" s="174" t="e">
        <f>$AD$19+10*LOG(D117)+20*LOG(D118/50)+10*LOG(D119)-35.6+IF(D123="Yes",-5)</f>
        <v>#NUM!</v>
      </c>
    </row>
    <row r="63" spans="1:56" s="161" customFormat="1" ht="13.5" thickTop="1" x14ac:dyDescent="0.2">
      <c r="A63" s="62"/>
      <c r="B63" s="115" t="str">
        <f>IF($D$18&gt;2,IF($D$12=$AA$10,"Nighttime hrs",""),"")</f>
        <v/>
      </c>
      <c r="C63" s="110" t="str">
        <f>IF($D$18&gt;2,IF($D$12=$AA$10,IF(D57=$AA$16,"",INDEX(Parameters,MATCH($D58,$AC$19:$AC$52,0),3)),""),"")</f>
        <v/>
      </c>
      <c r="D63" s="116"/>
      <c r="E63" s="62"/>
      <c r="F63" s="62"/>
      <c r="G63" s="137"/>
      <c r="H63" s="62"/>
      <c r="I63" s="62"/>
      <c r="J63" s="62"/>
      <c r="K63" s="62"/>
      <c r="L63" s="62"/>
      <c r="M63" s="62"/>
      <c r="N63" s="62"/>
      <c r="O63" s="62"/>
      <c r="P63" s="62"/>
      <c r="Q63" s="62"/>
      <c r="R63" s="62"/>
      <c r="AA63" s="160" t="str">
        <f>IF(D$75=$AA$15,AC24,IF(D$75=$AA$16,AC37,IF(D$75=$AA$17,AC49,"")))</f>
        <v>--</v>
      </c>
      <c r="AK63" s="160" t="s">
        <v>172</v>
      </c>
      <c r="AL63" s="173">
        <f>$AD$20+10*LOG(D27)+20*LOG(D28/50)+10*LOG(D29)-35.6+IF(D33="Yes",-5)</f>
        <v>40.912780139981443</v>
      </c>
      <c r="AN63" s="160" t="s">
        <v>172</v>
      </c>
      <c r="AO63" s="173">
        <f>$AD$20+10*LOG(D45)+20*LOG(D46/50)+10*LOG(D47)-35.6+IF(D51="Yes",-5)</f>
        <v>45.683992687178069</v>
      </c>
      <c r="AQ63" s="160" t="s">
        <v>172</v>
      </c>
      <c r="AR63" s="174" t="e">
        <f>$AD$20+10*LOG(D63)+20*LOG(D64/50)+10*LOG(D65)-35.6+IF(D69="Yes",-5)</f>
        <v>#NUM!</v>
      </c>
      <c r="AT63" s="160" t="s">
        <v>172</v>
      </c>
      <c r="AU63" s="174" t="e">
        <f>$AD$20+10*LOG(D81)+20*LOG(D82/50)+10*LOG(D83)-35.6+IF(D87="Yes",-5)</f>
        <v>#NUM!</v>
      </c>
      <c r="AW63" s="160" t="s">
        <v>172</v>
      </c>
      <c r="AX63" s="174" t="e">
        <f>$AD$20+10*LOG(D99)+20*LOG(D100/50)+10*LOG(D101)-35.6+IF(D105="Yes",-5)</f>
        <v>#NUM!</v>
      </c>
      <c r="AZ63" s="160" t="s">
        <v>172</v>
      </c>
      <c r="BA63" s="174" t="e">
        <f>$AD$20+10*LOG(D117)+20*LOG(D118/50)+10*LOG(D119)-35.6+IF(D123="Yes",-5)</f>
        <v>#NUM!</v>
      </c>
    </row>
    <row r="64" spans="1:56" s="161" customFormat="1" x14ac:dyDescent="0.2">
      <c r="A64" s="62"/>
      <c r="B64" s="115"/>
      <c r="C64" s="119" t="str">
        <f>IF($D$18&gt;2,IF($D$12=$AA$10,IF($D57=$AA$15,"Speed (mph)",IF($D57=$AA$16,"Speed (mph)",IF($D57=$AA$17,INDEX($AF$43:$AF$52,MATCH(D58,$AC$43:$AC$52,0)),""))),""),"")</f>
        <v/>
      </c>
      <c r="D64" s="120">
        <v>50</v>
      </c>
      <c r="E64" s="62"/>
      <c r="F64" s="62"/>
      <c r="G64" s="137"/>
      <c r="H64" s="62"/>
      <c r="I64" s="62"/>
      <c r="J64" s="62"/>
      <c r="K64" s="62"/>
      <c r="L64" s="62"/>
      <c r="M64" s="62"/>
      <c r="N64" s="62"/>
      <c r="O64" s="62"/>
      <c r="P64" s="62"/>
      <c r="Q64" s="62"/>
      <c r="R64" s="62"/>
      <c r="AA64" s="160" t="str">
        <f>IF(D$75=$AA$15,AC25,IF(D$75=$AA$16,AC38,IF(D$75=$AA$17,AC47,"")))</f>
        <v>--</v>
      </c>
      <c r="AK64" s="160" t="s">
        <v>152</v>
      </c>
      <c r="AL64" s="173">
        <f>$AD$31+10*LOG(D29)+30*LOG(D28/50)-35.6+IF(D33="Yes",-5,0)</f>
        <v>33.943680009900881</v>
      </c>
      <c r="AN64" s="160" t="s">
        <v>152</v>
      </c>
      <c r="AO64" s="173">
        <f>$AD$31+10*LOG(D47)+30*LOG(D46/50)-35.6+IF(D51="Yes",-5,0)</f>
        <v>33.943680009900881</v>
      </c>
      <c r="AQ64" s="174" t="s">
        <v>152</v>
      </c>
      <c r="AR64" s="174">
        <f>$AD$31+10*LOG(D65)+30*LOG(D64/50)-35.6+IF(D69="Yes",-5,0)</f>
        <v>28.813926851582245</v>
      </c>
      <c r="AT64" s="174" t="s">
        <v>152</v>
      </c>
      <c r="AU64" s="174">
        <f>$AD$31+10*LOG(D83)+30*LOG(D82/50)-35.6+IF(D87="Yes",-5,0)</f>
        <v>34.83452676486187</v>
      </c>
      <c r="AW64" s="174" t="s">
        <v>152</v>
      </c>
      <c r="AX64" s="174" t="e">
        <f>$AD$31+10*LOG(D101)+30*LOG(D100/50)-35.6+IF(D105="Yes",-5,0)</f>
        <v>#NUM!</v>
      </c>
      <c r="AZ64" s="174" t="s">
        <v>152</v>
      </c>
      <c r="BA64" s="174" t="e">
        <f>$AD$31+10*LOG(D119)+30*LOG(D118/50)-35.6+IF(D123="Yes",-5,0)</f>
        <v>#NUM!</v>
      </c>
    </row>
    <row r="65" spans="1:53" s="161" customFormat="1" x14ac:dyDescent="0.2">
      <c r="A65" s="62"/>
      <c r="B65" s="115"/>
      <c r="C65" s="119" t="str">
        <f>IF($D$18&gt;2,IF($D$12=$AA$10,IF($D57=$AA$15,"Avg. Number of Events/hr",IF($D57=$AA$16,"Avg. Number of Events/hr","")),""),"")</f>
        <v/>
      </c>
      <c r="D65" s="120">
        <v>0.11</v>
      </c>
      <c r="E65" s="62"/>
      <c r="F65" s="62"/>
      <c r="G65" s="92"/>
      <c r="H65" s="62"/>
      <c r="I65" s="62"/>
      <c r="J65" s="62"/>
      <c r="K65" s="62"/>
      <c r="L65" s="62"/>
      <c r="M65" s="62"/>
      <c r="N65" s="62"/>
      <c r="O65" s="62"/>
      <c r="P65" s="62"/>
      <c r="Q65" s="62"/>
      <c r="R65" s="62"/>
      <c r="AA65" s="160" t="str">
        <f t="shared" ref="AA65:AA68" si="3">IF(D$75=$AA$15,AC26,IF(D$75=$AA$16,AC39,IF(D$75=$AA$17,AC50,"")))</f>
        <v>--</v>
      </c>
      <c r="AC65" s="160" t="s">
        <v>165</v>
      </c>
      <c r="AD65" s="160">
        <v>80</v>
      </c>
      <c r="AK65" s="160" t="s">
        <v>112</v>
      </c>
      <c r="AL65" s="173">
        <f>$AD$43+10*LOG(D27/200+D28/60)-35.6+IF(D33="Yes",-5)</f>
        <v>76.671537957574657</v>
      </c>
      <c r="AN65" s="160" t="s">
        <v>112</v>
      </c>
      <c r="AO65" s="173">
        <f>$AD$43+10*LOG(D45/200+D46/60)-35.6+IF(D51="Yes",-5)</f>
        <v>76.735720576236986</v>
      </c>
      <c r="AP65" s="173"/>
      <c r="AQ65" s="174" t="s">
        <v>112</v>
      </c>
      <c r="AR65" s="175">
        <f>$AD$43+10*LOG(D63/200+D64/60)-35.6+IF(D69="Yes",-5)</f>
        <v>77.608187539523755</v>
      </c>
      <c r="AT65" s="174" t="s">
        <v>112</v>
      </c>
      <c r="AU65" s="175">
        <f>$AD$43+10*LOG(D81/200+D82/60)-35.6+IF(D87="Yes",-5)</f>
        <v>77.608187539523755</v>
      </c>
      <c r="AW65" s="174" t="s">
        <v>112</v>
      </c>
      <c r="AX65" s="175" t="e">
        <f>$AD$43+10*LOG(D99/200+D100/60)-35.6+IF(D105="Yes",-5)</f>
        <v>#NUM!</v>
      </c>
      <c r="AZ65" s="174" t="s">
        <v>112</v>
      </c>
      <c r="BA65" s="175" t="e">
        <f>$AD$43+10*LOG(D117/200+D118/60)-35.6+IF(D123="Yes",-5)</f>
        <v>#NUM!</v>
      </c>
    </row>
    <row r="66" spans="1:53" s="161" customFormat="1" x14ac:dyDescent="0.2">
      <c r="A66" s="62"/>
      <c r="B66" s="126"/>
      <c r="C66" s="113"/>
      <c r="D66" s="147"/>
      <c r="E66" s="62"/>
      <c r="F66" s="62"/>
      <c r="G66" s="137"/>
      <c r="H66" s="62"/>
      <c r="I66" s="62"/>
      <c r="J66" s="62"/>
      <c r="K66" s="62"/>
      <c r="L66" s="62"/>
      <c r="M66" s="62"/>
      <c r="N66" s="62"/>
      <c r="O66" s="62"/>
      <c r="P66" s="62"/>
      <c r="Q66" s="62"/>
      <c r="R66" s="62"/>
      <c r="AA66" s="160" t="str">
        <f t="shared" si="3"/>
        <v>--</v>
      </c>
      <c r="AC66" s="160" t="s">
        <v>129</v>
      </c>
      <c r="AD66" s="160">
        <v>70</v>
      </c>
      <c r="AK66" s="160" t="s">
        <v>75</v>
      </c>
      <c r="AL66" s="173">
        <f>$AD$44+10*LOG(D27/100)-35.6+IF(D33="Yes",-5)</f>
        <v>55.4</v>
      </c>
      <c r="AN66" s="160" t="s">
        <v>75</v>
      </c>
      <c r="AO66" s="173">
        <f>$AD$44+10*LOG(D45/100)-35.6+IF(D51="Yes",-5)</f>
        <v>60.171212547196625</v>
      </c>
      <c r="AQ66" s="174" t="s">
        <v>75</v>
      </c>
      <c r="AR66" s="174" t="e">
        <f>$AD$44+10*LOG(D63/100)-35.6+IF(D69="Yes",-5)</f>
        <v>#NUM!</v>
      </c>
      <c r="AT66" s="174" t="s">
        <v>75</v>
      </c>
      <c r="AU66" s="174" t="e">
        <f>$AD$44+10*LOG(D81/100)-35.6+IF(D87="Yes",-5)</f>
        <v>#NUM!</v>
      </c>
      <c r="AW66" s="174" t="s">
        <v>75</v>
      </c>
      <c r="AX66" s="174" t="e">
        <f>$AD$44+10*LOG(D99/100)-35.6+IF(D105="Yes",-5)</f>
        <v>#NUM!</v>
      </c>
      <c r="AZ66" s="174" t="s">
        <v>75</v>
      </c>
      <c r="BA66" s="174" t="e">
        <f>$AD$44+10*LOG(D117/100)-35.6+IF(D123="Yes",-5)</f>
        <v>#NUM!</v>
      </c>
    </row>
    <row r="67" spans="1:53" s="161" customFormat="1" x14ac:dyDescent="0.2">
      <c r="A67" s="62"/>
      <c r="B67" s="127" t="s">
        <v>19</v>
      </c>
      <c r="C67" s="128" t="str">
        <f>IF($D$18&gt;2,"Distance from Source to Receiver (ft)","")</f>
        <v/>
      </c>
      <c r="D67" s="116">
        <v>50</v>
      </c>
      <c r="E67" s="62"/>
      <c r="F67" s="62"/>
      <c r="G67" s="137"/>
      <c r="H67" s="62"/>
      <c r="I67" s="62"/>
      <c r="J67" s="62"/>
      <c r="K67" s="62"/>
      <c r="L67" s="62"/>
      <c r="M67" s="62"/>
      <c r="N67" s="62"/>
      <c r="O67" s="62"/>
      <c r="P67" s="62"/>
      <c r="Q67" s="62"/>
      <c r="R67" s="62"/>
      <c r="AA67" s="160" t="str">
        <f t="shared" si="3"/>
        <v>--</v>
      </c>
      <c r="AC67" s="160" t="s">
        <v>69</v>
      </c>
      <c r="AD67" s="160">
        <v>60</v>
      </c>
      <c r="AK67" s="160" t="s">
        <v>113</v>
      </c>
      <c r="AL67" s="173">
        <f>$AD$45+10*LOG(D27/20)-35.6+IF(D33="Yes",-5)</f>
        <v>52.389700043360186</v>
      </c>
      <c r="AN67" s="160" t="s">
        <v>113</v>
      </c>
      <c r="AO67" s="173">
        <f>$AD$45+10*LOG(D45/20)-35.6+IF(D51="Yes",-5)</f>
        <v>57.160912590556812</v>
      </c>
      <c r="AP67" s="173"/>
      <c r="AQ67" s="174" t="s">
        <v>113</v>
      </c>
      <c r="AR67" s="175" t="e">
        <f>$AD$45+10*LOG(D63/20)-35.6+IF(D69="Yes",-5)</f>
        <v>#NUM!</v>
      </c>
      <c r="AT67" s="174" t="s">
        <v>113</v>
      </c>
      <c r="AU67" s="175" t="e">
        <f>$AD$45+10*LOG(D81/20)-35.6+IF(D87="Yes",-5)</f>
        <v>#NUM!</v>
      </c>
      <c r="AW67" s="174" t="s">
        <v>113</v>
      </c>
      <c r="AX67" s="175" t="e">
        <f>$AD$45+10*LOG(D99/20)-35.6+IF(D105="Yes",-5)</f>
        <v>#NUM!</v>
      </c>
      <c r="AZ67" s="174" t="s">
        <v>113</v>
      </c>
      <c r="BA67" s="175" t="e">
        <f>$AD$45+10*LOG(D117/20)-35.6+IF(D123="Yes",-5)</f>
        <v>#NUM!</v>
      </c>
    </row>
    <row r="68" spans="1:53" s="161" customFormat="1" x14ac:dyDescent="0.2">
      <c r="A68" s="62"/>
      <c r="B68" s="130"/>
      <c r="C68" s="131" t="str">
        <f>IF($D$18&gt;2,"Number of Intervening Rows of Buildings","")</f>
        <v/>
      </c>
      <c r="D68" s="147">
        <v>0</v>
      </c>
      <c r="E68" s="62"/>
      <c r="F68" s="62"/>
      <c r="G68" s="62"/>
      <c r="H68" s="62"/>
      <c r="I68" s="62"/>
      <c r="J68" s="62"/>
      <c r="K68" s="62"/>
      <c r="L68" s="62"/>
      <c r="M68" s="62"/>
      <c r="N68" s="62"/>
      <c r="O68" s="62"/>
      <c r="P68" s="62"/>
      <c r="Q68" s="62"/>
      <c r="R68" s="62"/>
      <c r="AA68" s="160" t="str">
        <f t="shared" si="3"/>
        <v>--</v>
      </c>
      <c r="AC68" s="160" t="s">
        <v>127</v>
      </c>
      <c r="AD68" s="160">
        <v>50</v>
      </c>
      <c r="AK68" s="160" t="s">
        <v>153</v>
      </c>
      <c r="AL68" s="173">
        <f>$AD$32+10*LOG(D29)+15*LOG(D28/50)-35.6+IF(D33="Yes",-5,0)</f>
        <v>43.397330205021724</v>
      </c>
      <c r="AN68" s="160" t="s">
        <v>153</v>
      </c>
      <c r="AO68" s="173">
        <f>$AD$32+10*LOG(D47)+15*LOG(D46/50)-35.6+IF(D51="Yes",-5,0)</f>
        <v>43.397330205021724</v>
      </c>
      <c r="AQ68" s="174" t="s">
        <v>153</v>
      </c>
      <c r="AR68" s="174">
        <f>$AD$32+10*LOG(D65)+15*LOG(D64/50)-35.6+IF(D69="Yes",-5,0)</f>
        <v>36.813926851582245</v>
      </c>
      <c r="AT68" s="174" t="s">
        <v>153</v>
      </c>
      <c r="AU68" s="174">
        <f>$AD$32+10*LOG(D83)+15*LOG(D82/50)-35.6+IF(D87="Yes",-5,0)</f>
        <v>42.83452676486187</v>
      </c>
      <c r="AW68" s="174" t="s">
        <v>153</v>
      </c>
      <c r="AX68" s="174" t="e">
        <f>$AD$32+10*LOG(D101)+15*LOG(D100/50)-35.6+IF(D105="Yes",-5,0)</f>
        <v>#NUM!</v>
      </c>
      <c r="AZ68" s="174" t="s">
        <v>153</v>
      </c>
      <c r="BA68" s="174" t="e">
        <f>$AD$32+10*LOG(D119)+15*LOG(D118/50)-35.6+IF(D123="Yes",-5,0)</f>
        <v>#NUM!</v>
      </c>
    </row>
    <row r="69" spans="1:53" s="161" customFormat="1" x14ac:dyDescent="0.2">
      <c r="A69" s="62"/>
      <c r="B69" s="115" t="s">
        <v>102</v>
      </c>
      <c r="C69" s="133" t="str">
        <f>IF(ISNUMBER(MATCH($D57,$AA$16:$AA$17,0)),"Noise Barrier?",IF(ISNUMBER(MATCH($D58,$AC$9:$AC$14,0)),"Noise Barrier?",""))</f>
        <v/>
      </c>
      <c r="D69" s="148"/>
      <c r="E69" s="62"/>
      <c r="F69" s="62"/>
      <c r="G69" s="137"/>
      <c r="H69" s="62"/>
      <c r="I69" s="62"/>
      <c r="J69" s="62"/>
      <c r="K69" s="62"/>
      <c r="L69" s="62"/>
      <c r="M69" s="62"/>
      <c r="N69" s="62"/>
      <c r="O69" s="62"/>
      <c r="P69" s="62"/>
      <c r="Q69" s="62"/>
      <c r="R69" s="62"/>
      <c r="AA69" s="160" t="str">
        <f>IF(D$75=$AA$15,AC30,IF(D$75=$AA$16,AC42,IF(D$75=$AA$17,AC53,"")))</f>
        <v>--</v>
      </c>
      <c r="AC69" s="160" t="s">
        <v>128</v>
      </c>
      <c r="AD69" s="160">
        <v>55</v>
      </c>
      <c r="AK69" s="160" t="s">
        <v>154</v>
      </c>
      <c r="AL69" s="173">
        <f>$AD$33+10*LOG(D29)+28*LOG(D28/50)-35.6+IF(D33="Yes",-5,0)</f>
        <v>40.137500035916993</v>
      </c>
      <c r="AN69" s="160" t="s">
        <v>154</v>
      </c>
      <c r="AO69" s="173">
        <f>$AD$33+10*LOG(D47)+28*LOG(D46/50)-35.6+IF(D51="Yes",-5,0)</f>
        <v>40.137500035916993</v>
      </c>
      <c r="AQ69" s="174" t="s">
        <v>154</v>
      </c>
      <c r="AR69" s="174">
        <f>$AD$33+10*LOG(D65)+28*LOG(D64/50)-35.6+IF(D69="Yes",-5,0)</f>
        <v>34.813926851582245</v>
      </c>
      <c r="AT69" s="174" t="s">
        <v>154</v>
      </c>
      <c r="AU69" s="174">
        <f>$AD$33+10*LOG(D83)+28*LOG(D82/50)-35.6+IF(D87="Yes",-5,0)</f>
        <v>40.83452676486187</v>
      </c>
      <c r="AW69" s="174" t="s">
        <v>154</v>
      </c>
      <c r="AX69" s="174" t="e">
        <f>$AD$33+10*LOG(D101)+28*LOG(D100/50)-35.6+IF(D105="Yes",-5,0)</f>
        <v>#NUM!</v>
      </c>
      <c r="AZ69" s="174" t="s">
        <v>154</v>
      </c>
      <c r="BA69" s="174" t="e">
        <f>$AD$33+10*LOG(D119)+28*LOG(D118/50)-35.6+IF(D123="Yes",-5,0)</f>
        <v>#NUM!</v>
      </c>
    </row>
    <row r="70" spans="1:53" s="161" customFormat="1" x14ac:dyDescent="0.2">
      <c r="A70" s="62"/>
      <c r="B70" s="115"/>
      <c r="C70" s="119" t="str">
        <f>IF(ISNUMBER(MATCH(D58,$AC$27:$AC$29,0)),IF(D67&lt;=300,"Joint Track/Crossover?",""),"")</f>
        <v/>
      </c>
      <c r="D70" s="149"/>
      <c r="E70" s="62"/>
      <c r="F70" s="62"/>
      <c r="G70" s="137"/>
      <c r="H70" s="62"/>
      <c r="I70" s="62"/>
      <c r="J70" s="62"/>
      <c r="K70" s="62"/>
      <c r="L70" s="62"/>
      <c r="M70" s="62"/>
      <c r="N70" s="62"/>
      <c r="O70" s="62"/>
      <c r="P70" s="62"/>
      <c r="Q70" s="62"/>
      <c r="R70" s="62"/>
      <c r="AK70" s="160" t="s">
        <v>155</v>
      </c>
      <c r="AL70" s="173">
        <f>$AD$34+10*LOG(D29)+21*LOG(D28/50)-35.6+IF(D33="Yes",-5,0)</f>
        <v>43.815870126973387</v>
      </c>
      <c r="AN70" s="160" t="s">
        <v>155</v>
      </c>
      <c r="AO70" s="173">
        <f>$AD$34+10*LOG(D47)+21*LOG(D46/50)-35.6+IF(D51="Yes",-5,0)</f>
        <v>43.815870126973387</v>
      </c>
      <c r="AQ70" s="174" t="s">
        <v>155</v>
      </c>
      <c r="AR70" s="174">
        <f>$AD$34+10*LOG(D65)+21*LOG(D64/50)-35.6+IF(D69="Yes",-5,0)</f>
        <v>37.813926851582245</v>
      </c>
      <c r="AT70" s="174" t="s">
        <v>155</v>
      </c>
      <c r="AU70" s="174">
        <f>$AD$34+10*LOG(D83)+21*LOG(D82/50)-35.6+IF(D87="Yes",-5,0)</f>
        <v>43.83452676486187</v>
      </c>
      <c r="AW70" s="174" t="s">
        <v>155</v>
      </c>
      <c r="AX70" s="174" t="e">
        <f>$AD$34+10*LOG(D101)+21*LOG(D100/50)-35.6+IF(D105="Yes",-5,0)</f>
        <v>#NUM!</v>
      </c>
      <c r="AZ70" s="174" t="s">
        <v>155</v>
      </c>
      <c r="BA70" s="174" t="e">
        <f>$AD$34+10*LOG(D119)+21*LOG(D118/50)-35.6+IF(D123="Yes",-5,0)</f>
        <v>#NUM!</v>
      </c>
    </row>
    <row r="71" spans="1:53" s="161" customFormat="1" x14ac:dyDescent="0.2">
      <c r="A71" s="62"/>
      <c r="B71" s="115"/>
      <c r="C71" s="119" t="str">
        <f>IF(ISNUMBER(MATCH(D58,$AC$27:$AC$29,0)),"Embedded Track?","")</f>
        <v/>
      </c>
      <c r="D71" s="149"/>
      <c r="E71" s="62"/>
      <c r="F71" s="62"/>
      <c r="G71" s="137"/>
      <c r="H71" s="62"/>
      <c r="I71" s="62"/>
      <c r="J71" s="62"/>
      <c r="K71" s="62"/>
      <c r="L71" s="62"/>
      <c r="M71" s="62"/>
      <c r="N71" s="62"/>
      <c r="O71" s="62"/>
      <c r="P71" s="62"/>
      <c r="Q71" s="62"/>
      <c r="R71" s="62"/>
      <c r="Z71" s="160">
        <v>5</v>
      </c>
      <c r="AA71" s="160" t="str">
        <f>IF(D$93=$AA$15,AC19,IF(D$93=$AA$16,AC31,IF(D$93=$AA$17,AC43,"")))</f>
        <v>Bus Operating Facility</v>
      </c>
      <c r="AK71" s="160"/>
      <c r="AL71" s="173"/>
      <c r="AN71" s="160"/>
      <c r="AO71" s="173"/>
      <c r="AQ71" s="174"/>
      <c r="AR71" s="174"/>
      <c r="AT71" s="174"/>
      <c r="AU71" s="174"/>
      <c r="AW71" s="174"/>
      <c r="AX71" s="174"/>
      <c r="AZ71" s="174"/>
      <c r="BA71" s="174"/>
    </row>
    <row r="72" spans="1:53" s="161" customFormat="1" ht="13.5" thickBot="1" x14ac:dyDescent="0.25">
      <c r="A72" s="62"/>
      <c r="B72" s="138"/>
      <c r="C72" s="139" t="str">
        <f>IF(ISNUMBER(MATCH(D58,$AC$27:$AC$29,0)),"Aerial Structure?","")</f>
        <v/>
      </c>
      <c r="D72" s="150"/>
      <c r="E72" s="62"/>
      <c r="F72" s="62"/>
      <c r="G72" s="137"/>
      <c r="H72" s="62"/>
      <c r="I72" s="62"/>
      <c r="J72" s="62"/>
      <c r="K72" s="62"/>
      <c r="L72" s="62"/>
      <c r="M72" s="62"/>
      <c r="N72" s="62"/>
      <c r="O72" s="62"/>
      <c r="P72" s="62"/>
      <c r="Q72" s="62"/>
      <c r="R72" s="62"/>
      <c r="AA72" s="160" t="str">
        <f>IF(D$93=$AA$15,AC20,IF(D$93=$AA$16,AC32,IF(D$93=$AA$17,AC44,"")))</f>
        <v>Bus Storage Yard</v>
      </c>
      <c r="AC72" s="178" t="s">
        <v>167</v>
      </c>
      <c r="AK72" s="160" t="s">
        <v>58</v>
      </c>
      <c r="AL72" s="173">
        <f>$AD$46+10*LOG(D27/3600)-35.6</f>
        <v>37.836974992327121</v>
      </c>
      <c r="AN72" s="160" t="s">
        <v>58</v>
      </c>
      <c r="AO72" s="173">
        <f>$AD$46+10*LOG(D45/3600)-35.6</f>
        <v>42.608187539523747</v>
      </c>
      <c r="AP72" s="173"/>
      <c r="AQ72" s="174" t="s">
        <v>58</v>
      </c>
      <c r="AR72" s="175" t="e">
        <f>$AD$46+10*LOG(D63/3600)-35.6</f>
        <v>#NUM!</v>
      </c>
      <c r="AT72" s="174" t="s">
        <v>58</v>
      </c>
      <c r="AU72" s="175" t="e">
        <f>$AD$46+10*LOG(D81/3600)-35.6</f>
        <v>#NUM!</v>
      </c>
      <c r="AW72" s="174" t="s">
        <v>58</v>
      </c>
      <c r="AX72" s="175" t="e">
        <f>$AD$46+10*LOG(D99/3600)-35.6</f>
        <v>#NUM!</v>
      </c>
      <c r="AZ72" s="174" t="s">
        <v>58</v>
      </c>
      <c r="BA72" s="175" t="e">
        <f>$AD$46+10*LOG(D117/3600)-35.6</f>
        <v>#NUM!</v>
      </c>
    </row>
    <row r="73" spans="1:53" s="161" customFormat="1" ht="14.25" thickTop="1" thickBot="1" x14ac:dyDescent="0.25">
      <c r="A73" s="62"/>
      <c r="B73" s="62"/>
      <c r="C73" s="141"/>
      <c r="D73" s="98"/>
      <c r="E73" s="62"/>
      <c r="F73" s="62"/>
      <c r="G73" s="137"/>
      <c r="H73" s="62"/>
      <c r="I73" s="62"/>
      <c r="J73" s="62"/>
      <c r="K73" s="62"/>
      <c r="L73" s="62"/>
      <c r="M73" s="62"/>
      <c r="N73" s="62"/>
      <c r="O73" s="62"/>
      <c r="P73" s="62"/>
      <c r="Q73" s="62"/>
      <c r="R73" s="62"/>
      <c r="AA73" s="160" t="str">
        <f>IF(D$93=$AA$15,AC21,IF(D$93=$AA$16,AC33,IF(D$93=$AA$17,AC45,"")))</f>
        <v>Bus Transit Center</v>
      </c>
      <c r="AC73" s="160" t="s">
        <v>122</v>
      </c>
      <c r="AK73" s="160" t="s">
        <v>125</v>
      </c>
      <c r="AL73" s="173">
        <f>$AD$21+10*LOG10(D27)+(-10*LOG(D28/50))+10*LOG(D29)-35.6+IF(D33="Yes",0)</f>
        <v>55.82008053022313</v>
      </c>
      <c r="AN73" s="160" t="s">
        <v>125</v>
      </c>
      <c r="AO73" s="173">
        <f>$AD$21+10*LOG10(D45)+(-10*LOG(D46/50))+10*LOG(D47)-35.6+IF(D51="Yes",0)</f>
        <v>60.591293077419756</v>
      </c>
      <c r="AP73" s="173"/>
      <c r="AQ73" s="174" t="s">
        <v>125</v>
      </c>
      <c r="AR73" s="175" t="e">
        <f>$AD$21+10*LOG10(D63)+(-10*LOG(D64/50))+10*LOG(D65)-35.6+IF(D69="Yes",0)</f>
        <v>#NUM!</v>
      </c>
      <c r="AT73" s="174" t="s">
        <v>125</v>
      </c>
      <c r="AU73" s="175" t="e">
        <f>$AD$21+10*LOG10(D81)+(-10*LOG(D82/50))+10*LOG(D83)-35.6+IF(D87="Yes",0)</f>
        <v>#NUM!</v>
      </c>
      <c r="AW73" s="174" t="s">
        <v>125</v>
      </c>
      <c r="AX73" s="175" t="e">
        <f>$AD$21+10*LOG10(D99)+(-10*LOG(D100/50))+10*LOG(D101)-35.6+IF(D105="Yes",0)</f>
        <v>#NUM!</v>
      </c>
      <c r="AZ73" s="174" t="s">
        <v>125</v>
      </c>
      <c r="BA73" s="175" t="e">
        <f>$AD$21+10*LOG10(D117)+(-10*LOG(D118/50))+10*LOG(D119)-35.6+IF(D123="Yes",0)</f>
        <v>#NUM!</v>
      </c>
    </row>
    <row r="74" spans="1:53" s="161" customFormat="1" ht="13.5" thickTop="1" x14ac:dyDescent="0.2">
      <c r="A74" s="62"/>
      <c r="B74" s="76" t="str">
        <f>IF($D$18&gt;3,"Noise Source Parameters","")</f>
        <v/>
      </c>
      <c r="C74" s="142"/>
      <c r="D74" s="108" t="str">
        <f>IF($D$18&gt;3,"Source 4","")</f>
        <v/>
      </c>
      <c r="E74" s="66"/>
      <c r="F74" s="62"/>
      <c r="G74" s="137"/>
      <c r="H74" s="62"/>
      <c r="I74" s="62"/>
      <c r="J74" s="62"/>
      <c r="K74" s="62"/>
      <c r="L74" s="62"/>
      <c r="M74" s="62"/>
      <c r="N74" s="62"/>
      <c r="O74" s="62"/>
      <c r="P74" s="62"/>
      <c r="Q74" s="62"/>
      <c r="R74" s="62"/>
      <c r="AA74" s="160" t="str">
        <f>IF(D$93=$AA$15,AC22,IF(D$93=$AA$16,AC34,IF(D$93=$AA$17,AC46,"")))</f>
        <v>Crossing Signals</v>
      </c>
      <c r="AC74" s="160" t="s">
        <v>70</v>
      </c>
      <c r="AK74" s="160" t="s">
        <v>126</v>
      </c>
      <c r="AL74" s="173">
        <f>$AD$22+10*LOG10(D27)+(0*LOG(D28/50))+10*LOG(D29)-35.6+IF(D33="Yes",0)</f>
        <v>47.850980400142568</v>
      </c>
      <c r="AN74" s="160" t="s">
        <v>126</v>
      </c>
      <c r="AO74" s="173">
        <f>$AD$22+10*LOG10(D45)+(0*LOG(D46/50))+10*LOG(D47)-35.6+IF(D51="Yes",0)</f>
        <v>52.622192947339194</v>
      </c>
      <c r="AQ74" s="174" t="s">
        <v>126</v>
      </c>
      <c r="AR74" s="174" t="e">
        <f>$AD$22+10*LOG10(D63)+(0*LOG(D64/50))+10*LOG(D65)-35.6+IF(D69="Yes",0)</f>
        <v>#NUM!</v>
      </c>
      <c r="AT74" s="174" t="s">
        <v>126</v>
      </c>
      <c r="AU74" s="174" t="e">
        <f>$AD$22+10*LOG10(D81)+(0*LOG(D82/50))+10*LOG(D83)-35.6+IF(D87="Yes",0)</f>
        <v>#NUM!</v>
      </c>
      <c r="AW74" s="174" t="s">
        <v>126</v>
      </c>
      <c r="AX74" s="174" t="e">
        <f>$AD$22+10*LOG10(D99)+(0*LOG(D100/50))+10*LOG(D101)-35.6+IF(D105="Yes",0)</f>
        <v>#NUM!</v>
      </c>
      <c r="AZ74" s="174" t="s">
        <v>126</v>
      </c>
      <c r="BA74" s="174" t="e">
        <f>$AD$22+10*LOG10(D117)+(0*LOG(D118/50))+10*LOG(D119)-35.6+IF(D123="Yes",0)</f>
        <v>#NUM!</v>
      </c>
    </row>
    <row r="75" spans="1:53" s="161" customFormat="1" x14ac:dyDescent="0.2">
      <c r="A75" s="62"/>
      <c r="B75" s="109"/>
      <c r="C75" s="145" t="str">
        <f>IF($D$18&gt;3,"Source Type:","")</f>
        <v/>
      </c>
      <c r="D75" s="111" t="s">
        <v>166</v>
      </c>
      <c r="E75" s="62"/>
      <c r="F75" s="62"/>
      <c r="G75" s="137"/>
      <c r="H75" s="62"/>
      <c r="I75" s="59"/>
      <c r="J75" s="62"/>
      <c r="K75" s="62"/>
      <c r="L75" s="62"/>
      <c r="M75" s="62"/>
      <c r="N75" s="62"/>
      <c r="O75" s="62"/>
      <c r="P75" s="62"/>
      <c r="Q75" s="62"/>
      <c r="R75" s="62"/>
      <c r="AA75" s="160" t="str">
        <f>IF(D$93=$AA$15,AC23,IF(D$93=$AA$16,AC36,IF(D$93=$AA$17,AC48,"")))</f>
        <v>Ferry Terminal (no fog horn)</v>
      </c>
      <c r="AC75" s="160" t="s">
        <v>69</v>
      </c>
      <c r="AK75" s="160" t="s">
        <v>89</v>
      </c>
      <c r="AL75" s="173">
        <f>$AD$23+10*LOG10(D27)+(10*LOG(D28/50))+10*LOG(D29)-35.6+IF(D33="Yes",0)</f>
        <v>51.881880270062005</v>
      </c>
      <c r="AN75" s="160" t="s">
        <v>89</v>
      </c>
      <c r="AO75" s="173">
        <f>$AD$23+10*LOG10(D45)+(10*LOG(D46/50))+10*LOG(D47)-35.6+IF(D51="Yes",0)</f>
        <v>56.653092817258631</v>
      </c>
      <c r="AQ75" s="174" t="s">
        <v>89</v>
      </c>
      <c r="AR75" s="174" t="e">
        <f>$AD$23+10*LOG10(D63)+(10*LOG(D64/50))+10*LOG(D65)-35.6+IF(D69="Yes",0)</f>
        <v>#NUM!</v>
      </c>
      <c r="AT75" s="174" t="s">
        <v>89</v>
      </c>
      <c r="AU75" s="174" t="e">
        <f>$AD$23+10*LOG10(D81)+(10*LOG(D82/50))+10*LOG(D83)-35.6+IF(D87="Yes",0)</f>
        <v>#NUM!</v>
      </c>
      <c r="AW75" s="174" t="s">
        <v>89</v>
      </c>
      <c r="AX75" s="174" t="e">
        <f>$AD$23+10*LOG10(D99)+(10*LOG(D100/50))+10*LOG(D101)-35.6+IF(D105="Yes",0)</f>
        <v>#NUM!</v>
      </c>
      <c r="AZ75" s="174" t="s">
        <v>89</v>
      </c>
      <c r="BA75" s="174" t="e">
        <f>$AD$23+10*LOG10(D117)+(10*LOG(D118/50))+10*LOG(D119)-35.6+IF(D123="Yes",0)</f>
        <v>#NUM!</v>
      </c>
    </row>
    <row r="76" spans="1:53" s="161" customFormat="1" ht="13.5" thickBot="1" x14ac:dyDescent="0.25">
      <c r="A76" s="62"/>
      <c r="B76" s="112"/>
      <c r="C76" s="131" t="str">
        <f>IF($D$18&gt;3,"Specific Source:","")</f>
        <v/>
      </c>
      <c r="D76" s="114" t="s">
        <v>155</v>
      </c>
      <c r="E76" s="62"/>
      <c r="F76" s="62"/>
      <c r="G76" s="71" t="str">
        <f>IF($D$18&gt;3,"Source 4  Results","")</f>
        <v/>
      </c>
      <c r="H76" s="62"/>
      <c r="I76" s="59"/>
      <c r="J76" s="62"/>
      <c r="K76" s="62"/>
      <c r="L76" s="62"/>
      <c r="M76" s="62"/>
      <c r="N76" s="62"/>
      <c r="O76" s="62"/>
      <c r="P76" s="62"/>
      <c r="Q76" s="62"/>
      <c r="R76" s="62"/>
      <c r="AA76" s="160" t="str">
        <f>IF(D$93=$AA$15,AC24,IF(D$93=$AA$16,AC37,IF(D$93=$AA$17,AC49,"")))</f>
        <v>Ferry Terminal (w/ fog horn)</v>
      </c>
      <c r="AC76" s="160" t="s">
        <v>26</v>
      </c>
      <c r="AK76" s="160" t="s">
        <v>114</v>
      </c>
      <c r="AL76" s="173">
        <f>$AD$48+10*LOG(D27/4)-35.6</f>
        <v>55.379400086720374</v>
      </c>
      <c r="AN76" s="160" t="s">
        <v>114</v>
      </c>
      <c r="AO76" s="173">
        <f>$AD$48+10*LOG(D45/4)-35.6</f>
        <v>60.150612633917</v>
      </c>
      <c r="AP76" s="173"/>
      <c r="AQ76" s="174" t="s">
        <v>114</v>
      </c>
      <c r="AR76" s="175" t="e">
        <f>$AD$48+10*LOG(D63/4)-35.6</f>
        <v>#NUM!</v>
      </c>
      <c r="AT76" s="174" t="s">
        <v>114</v>
      </c>
      <c r="AU76" s="175" t="e">
        <f>$AD$48+10*LOG(D81/4)-35.6</f>
        <v>#NUM!</v>
      </c>
      <c r="AW76" s="174" t="s">
        <v>114</v>
      </c>
      <c r="AX76" s="175" t="e">
        <f>$AD$48+10*LOG(D99/4)-35.6</f>
        <v>#NUM!</v>
      </c>
      <c r="AZ76" s="174" t="s">
        <v>114</v>
      </c>
      <c r="BA76" s="175" t="e">
        <f>$AD$48+10*LOG(D117/4)-35.6</f>
        <v>#NUM!</v>
      </c>
    </row>
    <row r="77" spans="1:53" s="161" customFormat="1" ht="15" thickTop="1" x14ac:dyDescent="0.2">
      <c r="A77" s="62"/>
      <c r="B77" s="115" t="str">
        <f>IF($D$18&gt;3,IF(D12=AA10,"Daytime hrs","Noisiest hr of"),"")</f>
        <v/>
      </c>
      <c r="C77" s="110" t="str">
        <f>IF($D$18&gt;3,IF($D75=$AA$16,"",INDEX(Parameters,MATCH($D76,$AC$19:$AC$52,0),3)),"")</f>
        <v/>
      </c>
      <c r="D77" s="116"/>
      <c r="E77" s="62"/>
      <c r="F77" s="62"/>
      <c r="G77" s="117" t="str">
        <f>IF($D$18&gt;3,IF($D$12=$AA$10,"Leq(day):","Leqh:"),"")</f>
        <v/>
      </c>
      <c r="H77" s="118" t="str">
        <f>IF($D$18&gt;3,IF(ISERROR(INDEX(LeqDay,MATCH($D76,$AK$33:$AK$59,0),11)),0,INDEX(LeqDay,MATCH($D76,$AK$33:$AK$59,0),11)+IF(Calculations!D75=Calculations!$AA$17,-25*LOG(Calculations!D85/50),-15*LOG(Calculations!D85/50))-MIN(10,IF(D86&gt;0,IF(D86=1,4.5,4.5+((D86-1)*1.5)),0))),"")</f>
        <v/>
      </c>
      <c r="I77" s="62"/>
      <c r="J77" s="62"/>
      <c r="K77" s="62"/>
      <c r="L77" s="62"/>
      <c r="M77" s="62"/>
      <c r="N77" s="62"/>
      <c r="O77" s="62"/>
      <c r="P77" s="62"/>
      <c r="Q77" s="62"/>
      <c r="R77" s="62"/>
      <c r="AA77" s="160" t="str">
        <f>IF(D$93=$AA$15,AC25,IF(D$93=$AA$16,AC38,IF(D$93=$AA$17,AC47,"")))</f>
        <v>Layover Tracks (commuter rail)</v>
      </c>
      <c r="AC77" s="160" t="s">
        <v>127</v>
      </c>
      <c r="AK77" s="160" t="s">
        <v>115</v>
      </c>
      <c r="AL77" s="173">
        <f>$AD$49+10*LOG(D27/4)-35.6</f>
        <v>58.379400086720374</v>
      </c>
      <c r="AN77" s="160" t="s">
        <v>115</v>
      </c>
      <c r="AO77" s="173">
        <f>$AD$49+10*LOG(D45/4)-35.6</f>
        <v>63.150612633917</v>
      </c>
      <c r="AP77" s="173"/>
      <c r="AQ77" s="174" t="s">
        <v>115</v>
      </c>
      <c r="AR77" s="175" t="e">
        <f>$AD$49+10*LOG(D63/4)-35.6</f>
        <v>#NUM!</v>
      </c>
      <c r="AT77" s="174" t="s">
        <v>115</v>
      </c>
      <c r="AU77" s="175" t="e">
        <f>$AD$49+10*LOG(D81/4)-35.6</f>
        <v>#NUM!</v>
      </c>
      <c r="AW77" s="174" t="s">
        <v>115</v>
      </c>
      <c r="AX77" s="175" t="e">
        <f>$AD$49+10*LOG(D99/4)-35.6</f>
        <v>#NUM!</v>
      </c>
      <c r="AZ77" s="174" t="s">
        <v>115</v>
      </c>
      <c r="BA77" s="175" t="e">
        <f>$AD$49+10*LOG(D117/4)-35.6</f>
        <v>#NUM!</v>
      </c>
    </row>
    <row r="78" spans="1:53" s="161" customFormat="1" ht="14.25" x14ac:dyDescent="0.2">
      <c r="A78" s="62"/>
      <c r="B78" s="115" t="str">
        <f>IF($D$18&gt;3,IF($D$12=$AA$10,"","Activity During"),"")</f>
        <v/>
      </c>
      <c r="C78" s="119" t="str">
        <f>IF($D$18&gt;3,IF(D75=$AA$17,INDEX(Parameters,MATCH($D$22,$AC$19:$AC$52,0),4),"Speed (mph)"),"")</f>
        <v/>
      </c>
      <c r="D78" s="120">
        <v>50</v>
      </c>
      <c r="E78" s="62"/>
      <c r="F78" s="62"/>
      <c r="G78" s="121" t="str">
        <f>IF($D$18&gt;3,IF($D$12=$AA$10,"Leq(night):",""),"")</f>
        <v/>
      </c>
      <c r="H78" s="122" t="str">
        <f>IF($D$18&gt;3,IF($D$12=$AA$10,IF(ISERROR(INDEX(LeqNight,MATCH($D76,$AK$33:$AK$59,0),11)),0,INDEX(LeqNight,MATCH($D76,$AK$33:$AK$59,0),11)+IF(Calculations!D75=Calculations!$AA$17,-25*LOG(Calculations!D85/50),-15*LOG(Calculations!D85/50))-MIN(10,IF(D86&gt;0,IF(D86=1,4.5,4.5+((D86-1)*1.5)),0))),""),"")</f>
        <v/>
      </c>
      <c r="I78" s="62"/>
      <c r="J78" s="62"/>
      <c r="K78" s="62"/>
      <c r="L78" s="62"/>
      <c r="M78" s="62"/>
      <c r="N78" s="62"/>
      <c r="O78" s="62"/>
      <c r="P78" s="62"/>
      <c r="Q78" s="62"/>
      <c r="R78" s="62"/>
      <c r="AA78" s="160" t="str">
        <f t="shared" ref="AA78:AA81" si="4">IF(D$93=$AA$15,AC26,IF(D$93=$AA$16,AC39,IF(D$93=$AA$17,AC50,"")))</f>
        <v>Parking Garage</v>
      </c>
      <c r="AK78" s="160" t="s">
        <v>56</v>
      </c>
      <c r="AL78" s="173">
        <f>$AD$47+10*LOG(D27)-35.6+IF(D33="Yes",-5)</f>
        <v>73.400000000000006</v>
      </c>
      <c r="AN78" s="160" t="s">
        <v>56</v>
      </c>
      <c r="AO78" s="173">
        <f>$AD$47+10*LOG(D45)-35.6+IF(D51="Yes",-5)</f>
        <v>78.171212547196632</v>
      </c>
      <c r="AQ78" s="174" t="s">
        <v>56</v>
      </c>
      <c r="AR78" s="174" t="e">
        <f>$AD$47+10*LOG(D63)-35.6+IF(D69="Yes",-5)</f>
        <v>#NUM!</v>
      </c>
      <c r="AT78" s="174" t="s">
        <v>56</v>
      </c>
      <c r="AU78" s="174" t="e">
        <f>$AD$47+10*LOG(D81)-35.6+IF(D87="Yes",-5)</f>
        <v>#NUM!</v>
      </c>
      <c r="AW78" s="174" t="s">
        <v>56</v>
      </c>
      <c r="AX78" s="174" t="e">
        <f>$AD$47+10*LOG(D99)-35.6+IF(D105="Yes",-5)</f>
        <v>#NUM!</v>
      </c>
      <c r="AZ78" s="174" t="s">
        <v>56</v>
      </c>
      <c r="BA78" s="174" t="e">
        <f>$AD$47+10*LOG(D117)-35.6+IF(D123="Yes",-5)</f>
        <v>#NUM!</v>
      </c>
    </row>
    <row r="79" spans="1:53" s="161" customFormat="1" ht="14.25" x14ac:dyDescent="0.2">
      <c r="A79" s="62"/>
      <c r="B79" s="115" t="str">
        <f>IF($D$18&gt;3,IF($D$12=$AA$10,"","Sensitive hrs"),"")</f>
        <v/>
      </c>
      <c r="C79" s="119" t="str">
        <f>IF($D$18&gt;3,IF($D$12=$AA$10,IF($D75=$AA$15,"Avg. Number of Events/hr",IF($D75=$AA$16,"Avg. Number of Events/hr","")),IF($D75=$AA$15,"Number of Events/hr",IF($D75=$AA$16,"Number of Events/hr",""))),"")</f>
        <v/>
      </c>
      <c r="D79" s="120">
        <v>1</v>
      </c>
      <c r="E79" s="62"/>
      <c r="F79" s="62"/>
      <c r="G79" s="121" t="str">
        <f>IF($D$18&gt;3,IF($D$12=$AA$10,"Ldn:",""),"")</f>
        <v/>
      </c>
      <c r="H79" s="122" t="str">
        <f>IF($D$18&gt;3,IF($D$12=$AA$10,10*LOG(15*10^(H77/10)+9*10^((H78+10)/10))-13.8,""),"")</f>
        <v/>
      </c>
      <c r="I79" s="62"/>
      <c r="J79" s="62"/>
      <c r="K79" s="62"/>
      <c r="L79" s="62"/>
      <c r="M79" s="62"/>
      <c r="N79" s="62"/>
      <c r="O79" s="62"/>
      <c r="P79" s="62"/>
      <c r="Q79" s="62"/>
      <c r="R79" s="62"/>
      <c r="AA79" s="160" t="str">
        <f t="shared" si="4"/>
        <v>Park &amp; Ride Lot</v>
      </c>
      <c r="AK79" s="160" t="s">
        <v>55</v>
      </c>
      <c r="AL79" s="173">
        <f>$AD$24+10*LOG(D29)-35.6</f>
        <v>72.850980400142561</v>
      </c>
      <c r="AN79" s="160" t="s">
        <v>55</v>
      </c>
      <c r="AO79" s="173">
        <f>$AD$24+10*LOG(D47)-35.6</f>
        <v>72.850980400142561</v>
      </c>
      <c r="AQ79" s="174" t="s">
        <v>55</v>
      </c>
      <c r="AR79" s="174">
        <f>$AD$24+10*LOG(D65)-35.6</f>
        <v>64.813926851582238</v>
      </c>
      <c r="AT79" s="174" t="s">
        <v>55</v>
      </c>
      <c r="AU79" s="174">
        <f>$AD$24+10*LOG(D83)-35.6</f>
        <v>70.834526764861863</v>
      </c>
      <c r="AW79" s="174" t="s">
        <v>55</v>
      </c>
      <c r="AX79" s="174" t="e">
        <f>$AD$24+10*LOG(D101)-35.6</f>
        <v>#NUM!</v>
      </c>
      <c r="AZ79" s="174" t="s">
        <v>55</v>
      </c>
      <c r="BA79" s="174" t="e">
        <f>$AD$24+10*LOG(D119)-35.6</f>
        <v>#NUM!</v>
      </c>
    </row>
    <row r="80" spans="1:53" s="161" customFormat="1" ht="15" thickBot="1" x14ac:dyDescent="0.25">
      <c r="A80" s="62"/>
      <c r="B80" s="126"/>
      <c r="C80" s="113"/>
      <c r="D80" s="147"/>
      <c r="E80" s="62"/>
      <c r="F80" s="62"/>
      <c r="G80" s="124" t="str">
        <f>IF($D$18&gt;3,IF($D$12=$AA$10,"Incremental Ldn (Src 1-4):","Incremental Leqh (Src 1-4):"),"")</f>
        <v/>
      </c>
      <c r="H80" s="125" t="str">
        <f>IF($D$18&gt;3,IF($D$12=$AA$10,10*LOG10(10^(H25/10)+10^(H43/10)+10^(H61/10)+10^(H79/10)),10*LOG10(10^(H23/10)+10^(H41/10)+10^(H59/10)+10^(H77/10))),"")</f>
        <v/>
      </c>
      <c r="I80" s="62"/>
      <c r="J80" s="62"/>
      <c r="K80" s="62"/>
      <c r="L80" s="62"/>
      <c r="M80" s="62"/>
      <c r="N80" s="62"/>
      <c r="O80" s="62"/>
      <c r="P80" s="62"/>
      <c r="Q80" s="62"/>
      <c r="R80" s="62"/>
      <c r="AA80" s="160" t="str">
        <f t="shared" si="4"/>
        <v>Rail Yard &amp; Shops</v>
      </c>
      <c r="AK80" s="160" t="s">
        <v>151</v>
      </c>
      <c r="AL80" s="173">
        <f>$AD$26+10*LOG(D27)+20*LOG(D28/50)+10*LOG(D29)-35.6+IF(D33="Yes",0)</f>
        <v>32.912780139981443</v>
      </c>
      <c r="AN80" s="160" t="s">
        <v>151</v>
      </c>
      <c r="AO80" s="173">
        <f>$AD$26+10*LOG(D45)+20*LOG(D46/50)+10*LOG(D47)-35.6+IF(D51="Yes",0)</f>
        <v>37.683992687178069</v>
      </c>
      <c r="AQ80" s="174" t="s">
        <v>151</v>
      </c>
      <c r="AR80" s="174" t="e">
        <f>$AD$26+10*LOG(D63)+20*LOG(D64/50)+10*LOG(D65)-35.6+IF(D69="Yes",0)</f>
        <v>#NUM!</v>
      </c>
      <c r="AT80" s="174" t="s">
        <v>151</v>
      </c>
      <c r="AU80" s="174" t="e">
        <f>$AD$26+10*LOG(D81)+20*LOG(D82/50)+10*LOG(D83)-35.6+IF(D87="Yes",0)</f>
        <v>#NUM!</v>
      </c>
      <c r="AW80" s="174" t="s">
        <v>151</v>
      </c>
      <c r="AX80" s="174" t="e">
        <f>$AD$26+10*LOG(D99)+20*LOG(D100/50)+10*LOG(D101)-35.6+IF(D105="Yes",0)</f>
        <v>#NUM!</v>
      </c>
      <c r="AZ80" s="174" t="s">
        <v>151</v>
      </c>
      <c r="BA80" s="174" t="e">
        <f>$AD$26+10*LOG(D117)+20*LOG(D118/50)+10*LOG(D119)-35.6+IF(D123="Yes",0)</f>
        <v>#NUM!</v>
      </c>
    </row>
    <row r="81" spans="1:53" s="161" customFormat="1" ht="13.5" thickTop="1" x14ac:dyDescent="0.2">
      <c r="A81" s="62"/>
      <c r="B81" s="115" t="str">
        <f>IF($D$18&gt;3,IF($D$12=$AA$10,"Nighttime hrs",""),"")</f>
        <v/>
      </c>
      <c r="C81" s="110" t="str">
        <f>IF($D$18&gt;3,IF($D$12=$AA$10,IF(D75=$AA$16,"",INDEX(Parameters,MATCH($D76,$AC$19:$AC$52,0),3)),""),"")</f>
        <v/>
      </c>
      <c r="D81" s="116"/>
      <c r="E81" s="62"/>
      <c r="F81" s="62"/>
      <c r="G81" s="137"/>
      <c r="H81" s="62"/>
      <c r="I81" s="62"/>
      <c r="J81" s="62"/>
      <c r="K81" s="62"/>
      <c r="L81" s="62"/>
      <c r="M81" s="62"/>
      <c r="N81" s="62"/>
      <c r="O81" s="62"/>
      <c r="P81" s="62"/>
      <c r="Q81" s="62"/>
      <c r="R81" s="62"/>
      <c r="AA81" s="160" t="str">
        <f t="shared" si="4"/>
        <v>--</v>
      </c>
      <c r="AK81" s="160" t="s">
        <v>150</v>
      </c>
      <c r="AL81" s="173">
        <f>$AD$25+10*LOG(D27)+20*LOG(D28/50)+10*LOG(D29)-35.6+IF(D33="Yes",-5)</f>
        <v>42.912780139981443</v>
      </c>
      <c r="AN81" s="160" t="s">
        <v>150</v>
      </c>
      <c r="AO81" s="173">
        <f>$AD$25+10*LOG(D45)+20*LOG(D46/50)+10*LOG(D47)-35.6+IF(D51="Yes",-5)</f>
        <v>47.683992687178069</v>
      </c>
      <c r="AQ81" s="174" t="s">
        <v>150</v>
      </c>
      <c r="AR81" s="174" t="e">
        <f>$AD$25+10*LOG(D63)+20*LOG(D64/50)+10*LOG(D65)-35.6+IF(D69="Yes",-5)</f>
        <v>#NUM!</v>
      </c>
      <c r="AT81" s="174" t="s">
        <v>150</v>
      </c>
      <c r="AU81" s="174" t="e">
        <f>$AD$25+10*LOG(D81)+20*LOG(D82/50)+10*LOG(D83)-35.6+IF(D87="Yes",-5)</f>
        <v>#NUM!</v>
      </c>
      <c r="AW81" s="174" t="s">
        <v>150</v>
      </c>
      <c r="AX81" s="174" t="e">
        <f>$AD$25+10*LOG(D99)+20*LOG(D100/50)+10*LOG(D101)-35.6+IF(D105="Yes",-5)</f>
        <v>#NUM!</v>
      </c>
      <c r="AZ81" s="174" t="s">
        <v>150</v>
      </c>
      <c r="BA81" s="174" t="e">
        <f>$AD$25+10*LOG(D117)+20*LOG(D118/50)+10*LOG(D119)-35.6+IF(D123="Yes",-5)</f>
        <v>#NUM!</v>
      </c>
    </row>
    <row r="82" spans="1:53" s="161" customFormat="1" x14ac:dyDescent="0.2">
      <c r="A82" s="62"/>
      <c r="B82" s="115"/>
      <c r="C82" s="119" t="str">
        <f>IF($D$18&gt;3,IF($D$12=$AA$10,IF($D75=$AA$15,"Speed (mph)",IF($D75=$AA$16,"Speed (mph)",IF($D75=$AA$17,INDEX($AF$43:$AF$52,MATCH(D76,$AC$43:$AC$52,0)),""))),""),"")</f>
        <v/>
      </c>
      <c r="D82" s="120">
        <v>50</v>
      </c>
      <c r="E82" s="62"/>
      <c r="F82" s="62"/>
      <c r="G82" s="137"/>
      <c r="H82" s="62"/>
      <c r="I82" s="62"/>
      <c r="J82" s="62"/>
      <c r="K82" s="62"/>
      <c r="L82" s="62"/>
      <c r="M82" s="62"/>
      <c r="N82" s="62"/>
      <c r="O82" s="62"/>
      <c r="P82" s="62"/>
      <c r="Q82" s="62"/>
      <c r="R82" s="62"/>
      <c r="AA82" s="160" t="str">
        <f>IF(D$93=$AA$15,AC30,IF(D$93=$AA$16,AC42,IF(D$93=$AA$17,AC53,"")))</f>
        <v>--</v>
      </c>
      <c r="AK82" s="160" t="s">
        <v>116</v>
      </c>
      <c r="AL82" s="173">
        <f>$AD$50+10*LOG(D27/1000)-35.6+IF(D33="Yes",-5)</f>
        <v>26.4</v>
      </c>
      <c r="AN82" s="160" t="s">
        <v>116</v>
      </c>
      <c r="AO82" s="173">
        <f>$AD$50+10*LOG(D45/1000)-35.6+IF(D51="Yes",-5)</f>
        <v>31.171212547196625</v>
      </c>
      <c r="AQ82" s="174" t="s">
        <v>116</v>
      </c>
      <c r="AR82" s="174" t="e">
        <f>$AD$50+10*LOG(D63/1000)-35.6+IF(D69="Yes",-5)</f>
        <v>#NUM!</v>
      </c>
      <c r="AT82" s="174" t="s">
        <v>116</v>
      </c>
      <c r="AU82" s="174" t="e">
        <f>$AD$50+10*LOG(D81/1000)-35.6+IF(D87="Yes",-5)</f>
        <v>#NUM!</v>
      </c>
      <c r="AW82" s="174" t="s">
        <v>116</v>
      </c>
      <c r="AX82" s="174" t="e">
        <f>$AD$50+10*LOG(D99/1000)-35.6+IF(D105="Yes",-5)</f>
        <v>#NUM!</v>
      </c>
      <c r="AZ82" s="174" t="s">
        <v>116</v>
      </c>
      <c r="BA82" s="174" t="e">
        <f>$AD$50+10*LOG(D117/1000)-35.6+IF(D123="Yes",-5)</f>
        <v>#NUM!</v>
      </c>
    </row>
    <row r="83" spans="1:53" s="161" customFormat="1" x14ac:dyDescent="0.2">
      <c r="A83" s="62"/>
      <c r="B83" s="115"/>
      <c r="C83" s="119" t="str">
        <f>IF($D$18&gt;3,IF($D$12=$AA$10,IF($D75=$AA$15,"Avg. Number of Events/hr",IF($D75=$AA$16,"Avg. Number of Events/hr","")),""),"")</f>
        <v/>
      </c>
      <c r="D83" s="120">
        <v>0.44</v>
      </c>
      <c r="E83" s="62"/>
      <c r="F83" s="62"/>
      <c r="G83" s="137"/>
      <c r="H83" s="62"/>
      <c r="I83" s="62"/>
      <c r="J83" s="62"/>
      <c r="K83" s="62"/>
      <c r="L83" s="62"/>
      <c r="M83" s="62"/>
      <c r="N83" s="62"/>
      <c r="O83" s="62"/>
      <c r="P83" s="62"/>
      <c r="Q83" s="62"/>
      <c r="R83" s="62"/>
      <c r="AC83" s="160" t="s">
        <v>121</v>
      </c>
      <c r="AK83" s="160" t="s">
        <v>142</v>
      </c>
      <c r="AL83" s="173">
        <f>$AD$51+10*LOG(D27/2000+D28/24)-35.6+IF(D33="Yes",-5)</f>
        <v>67.619790184215844</v>
      </c>
      <c r="AN83" s="160" t="s">
        <v>142</v>
      </c>
      <c r="AO83" s="173">
        <f>$AD$51+10*LOG(D45/2000+D46/24)-35.6+IF(D51="Yes",-5)</f>
        <v>67.622394388662656</v>
      </c>
      <c r="AP83" s="173"/>
      <c r="AQ83" s="174" t="s">
        <v>142</v>
      </c>
      <c r="AR83" s="175">
        <f>$AD$51+10*LOG(D63/2000+D64/24)-35.6+IF(D69="Yes",-5)</f>
        <v>68.58758762624413</v>
      </c>
      <c r="AT83" s="174" t="s">
        <v>142</v>
      </c>
      <c r="AU83" s="175">
        <f>$AD$51+10*LOG(D81/2000+D82/24)-35.6+IF(D87="Yes",-5)</f>
        <v>68.58758762624413</v>
      </c>
      <c r="AW83" s="174" t="s">
        <v>142</v>
      </c>
      <c r="AX83" s="175" t="e">
        <f>$AD$51+10*LOG(D99/2000+D100/24)-35.6+IF(D105="Yes",-5)</f>
        <v>#NUM!</v>
      </c>
      <c r="AZ83" s="174" t="s">
        <v>142</v>
      </c>
      <c r="BA83" s="175" t="e">
        <f>$AD$51+10*LOG(D117/2000+D118/24)-35.6+IF(D123="Yes",-5)</f>
        <v>#NUM!</v>
      </c>
    </row>
    <row r="84" spans="1:53" s="161" customFormat="1" x14ac:dyDescent="0.2">
      <c r="A84" s="62"/>
      <c r="B84" s="126"/>
      <c r="C84" s="113"/>
      <c r="D84" s="151"/>
      <c r="E84" s="62"/>
      <c r="F84" s="62"/>
      <c r="G84" s="137"/>
      <c r="H84" s="62"/>
      <c r="I84" s="62"/>
      <c r="J84" s="62"/>
      <c r="K84" s="62"/>
      <c r="L84" s="62"/>
      <c r="M84" s="62"/>
      <c r="N84" s="62"/>
      <c r="O84" s="62"/>
      <c r="P84" s="62"/>
      <c r="Q84" s="62"/>
      <c r="R84" s="62"/>
      <c r="Z84" s="160">
        <v>6</v>
      </c>
      <c r="AA84" s="160" t="str">
        <f>IF(D$111=$AA$15,AC19,IF(D$111=$AA$16,AC31,IF(D$111=$AA$17,AC43,"")))</f>
        <v>Automobiles and Vans</v>
      </c>
      <c r="AC84" s="178" t="s">
        <v>167</v>
      </c>
      <c r="AK84" s="160" t="s">
        <v>124</v>
      </c>
      <c r="AL84" s="173">
        <f>$AD$27+10*LOG(D27)+20*LOG(D28/50)+10*LOG(D29)-35.6+IF(D33="Yes",-5)+IF(D34="Yes",5)+IF(D35="Yes",3)+IF(D36="Yes",4)</f>
        <v>42.912780139981443</v>
      </c>
      <c r="AN84" s="160" t="s">
        <v>124</v>
      </c>
      <c r="AO84" s="173">
        <f>$AD$27+10*LOG(D45)+20*LOG(D46/50)+10*LOG(D47)-35.6+IF(D51="Yes",-5)+IF(D52="Yes",5)+IF(D53="Yes",3)+IF(D54="Yes",4)</f>
        <v>47.683992687178069</v>
      </c>
      <c r="AQ84" s="174" t="s">
        <v>124</v>
      </c>
      <c r="AR84" s="174" t="e">
        <f>$AD$27+10*LOG(D63)+20*LOG(D64/50)+10*LOG(D65)-35.6+IF(D69="Yes",-5)+IF(D70="Yes",5)+IF(D71="Yes",3)+IF(D72="Yes",4)</f>
        <v>#NUM!</v>
      </c>
      <c r="AT84" s="174" t="s">
        <v>124</v>
      </c>
      <c r="AU84" s="174" t="e">
        <f>$AD$27+10*LOG(D81)+20*LOG(D82/50)+10*LOG(D83)-35.6+IF(D87="Yes",-5)+IF(D88="Yes",5)+IF(D89="Yes",3)+IF(D90="Yes",4)</f>
        <v>#NUM!</v>
      </c>
      <c r="AW84" s="174" t="s">
        <v>124</v>
      </c>
      <c r="AX84" s="174" t="e">
        <f>$AD$27+10*LOG(D99)+20*LOG(D100/50)+10*LOG(D101)-35.6+IF(D105="Yes",-5)+IF(D106="Yes",5)+IF(D107="Yes",3)+IF(D108="Yes",4)</f>
        <v>#NUM!</v>
      </c>
      <c r="AZ84" s="174" t="s">
        <v>124</v>
      </c>
      <c r="BA84" s="174" t="e">
        <f>$AD$27+10*LOG(D117)+20*LOG(D118/50)+10*LOG(D119)-35.6+IF(D123="Yes",-5)+IF(D124="Yes",5)+IF(D125="Yes",3)+IF(D126="Yes",4)</f>
        <v>#NUM!</v>
      </c>
    </row>
    <row r="85" spans="1:53" s="161" customFormat="1" x14ac:dyDescent="0.2">
      <c r="A85" s="62"/>
      <c r="B85" s="127" t="s">
        <v>19</v>
      </c>
      <c r="C85" s="128" t="str">
        <f>IF($D$18&gt;3,"Distance from Source to Receiver (ft)","")</f>
        <v/>
      </c>
      <c r="D85" s="116">
        <v>70</v>
      </c>
      <c r="E85" s="62"/>
      <c r="F85" s="62"/>
      <c r="G85" s="137"/>
      <c r="H85" s="62"/>
      <c r="I85" s="62"/>
      <c r="J85" s="62"/>
      <c r="K85" s="62"/>
      <c r="L85" s="62"/>
      <c r="M85" s="62"/>
      <c r="N85" s="62"/>
      <c r="O85" s="62"/>
      <c r="P85" s="62"/>
      <c r="Q85" s="62"/>
      <c r="R85" s="62"/>
      <c r="AA85" s="160" t="str">
        <f>IF(D$111=$AA$15,AC20,IF(D$111=$AA$16,AC32,IF(D$111=$AA$17,AC44,"")))</f>
        <v>Buses (diesel-powered)</v>
      </c>
      <c r="AC85" s="160" t="s">
        <v>165</v>
      </c>
      <c r="AK85" s="169" t="s">
        <v>177</v>
      </c>
      <c r="AL85" s="173">
        <f>$AD$29+10*LOG(D27)+20*LOG(D28/50)+10*LOG(D29)-35.6+IF(D33="Yes",-5)+IF(D34="Yes",5)+IF(D35="Yes",3)+IF(D36="Yes",4)</f>
        <v>42.912780139981443</v>
      </c>
      <c r="AN85" s="169" t="s">
        <v>177</v>
      </c>
      <c r="AO85" s="173">
        <f>$AD$29+10*LOG(D45)+20*LOG(D46/50)+10*LOG(D47)-35.6+IF(D51="Yes",-5)+IF(D52="Yes",5)+IF(D53="Yes",3)+IF(D54="Yes",4)</f>
        <v>47.683992687178069</v>
      </c>
      <c r="AQ85" s="169" t="s">
        <v>177</v>
      </c>
      <c r="AR85" s="174" t="e">
        <f>$AD$29+10*LOG(D63)+20*LOG(D64/50)+10*LOG(D65)-35.6+IF(D69="Yes",-5)+IF(D70="Yes",5)+IF(D71="Yes",3)+IF(D72="Yes",4)</f>
        <v>#NUM!</v>
      </c>
      <c r="AT85" s="169" t="s">
        <v>177</v>
      </c>
      <c r="AU85" s="174" t="e">
        <f>$AD$29+10*LOG(D81)+20*LOG(D82/50)+10*LOG(D83)-35.6+IF(D87="Yes",-5)+IF(D88="Yes",5)+IF(D89="Yes",3)+IF(D90="Yes",4)</f>
        <v>#NUM!</v>
      </c>
      <c r="AW85" s="169" t="s">
        <v>177</v>
      </c>
      <c r="AX85" s="174" t="e">
        <f>$AD$29+10*LOG(D99)+20*LOG(D100/50)+10*LOG(D101)-35.6+IF(D105="Yes",-5)+IF(D106="Yes",5)+IF(D107="Yes",3)+IF(D108="Yes",4)</f>
        <v>#NUM!</v>
      </c>
      <c r="AZ85" s="169" t="s">
        <v>177</v>
      </c>
      <c r="BA85" s="174" t="e">
        <f>$AD$29+10*LOG(D117)+20*LOG(D118/50)+10*LOG(D119)-35.6+IF(D123="Yes",-5)+IF(D124="Yes",5)+IF(D125="Yes",3)+IF(D126="Yes",4)</f>
        <v>#NUM!</v>
      </c>
    </row>
    <row r="86" spans="1:53" s="161" customFormat="1" x14ac:dyDescent="0.2">
      <c r="A86" s="62"/>
      <c r="B86" s="130"/>
      <c r="C86" s="131" t="str">
        <f>IF($D$18&gt;3,"Number of Intervening Rows of Buildings","")</f>
        <v/>
      </c>
      <c r="D86" s="147">
        <v>0</v>
      </c>
      <c r="E86" s="62"/>
      <c r="F86" s="62"/>
      <c r="G86" s="62"/>
      <c r="H86" s="62"/>
      <c r="I86" s="62"/>
      <c r="J86" s="62"/>
      <c r="K86" s="62"/>
      <c r="L86" s="62"/>
      <c r="M86" s="62"/>
      <c r="N86" s="62"/>
      <c r="O86" s="62"/>
      <c r="P86" s="62"/>
      <c r="Q86" s="62"/>
      <c r="R86" s="62"/>
      <c r="AA86" s="160" t="str">
        <f>IF(D$111=$AA$15,AC21,IF(D$111=$AA$16,AC33,IF(D$111=$AA$17,AC45,"")))</f>
        <v>Buses (electric)</v>
      </c>
      <c r="AC86" s="160" t="s">
        <v>70</v>
      </c>
      <c r="AK86" s="160" t="s">
        <v>54</v>
      </c>
      <c r="AL86" s="173">
        <f>$AD$52+10*LOG(D27/20)-35.6+IF(D33="Yes",-5)</f>
        <v>69.389700043360193</v>
      </c>
      <c r="AN86" s="160" t="s">
        <v>54</v>
      </c>
      <c r="AO86" s="173">
        <f>$AD$52+10*LOG(D45/20)-35.6+IF(D51="Yes",-5)</f>
        <v>74.160912590556819</v>
      </c>
      <c r="AP86" s="173"/>
      <c r="AQ86" s="160" t="s">
        <v>54</v>
      </c>
      <c r="AR86" s="175" t="e">
        <f>$AD$52+10*LOG(D63/20)-35.6+IF(D69="Yes",-5)</f>
        <v>#NUM!</v>
      </c>
      <c r="AT86" s="160" t="s">
        <v>54</v>
      </c>
      <c r="AU86" s="175" t="e">
        <f>$AD$52+10*LOG(D81/20)-35.6+IF(D87="Yes",-5)</f>
        <v>#NUM!</v>
      </c>
      <c r="AW86" s="160" t="s">
        <v>54</v>
      </c>
      <c r="AX86" s="175" t="e">
        <f>$AD$52+10*LOG(D99/20)-35.6+IF(D105="Yes",-5)</f>
        <v>#NUM!</v>
      </c>
      <c r="AZ86" s="160" t="s">
        <v>54</v>
      </c>
      <c r="BA86" s="175" t="e">
        <f>$AD$52+10*LOG(D117/20)-35.6+IF(D123="Yes",-5)</f>
        <v>#NUM!</v>
      </c>
    </row>
    <row r="87" spans="1:53" s="161" customFormat="1" x14ac:dyDescent="0.2">
      <c r="A87" s="62"/>
      <c r="B87" s="115" t="s">
        <v>102</v>
      </c>
      <c r="C87" s="133" t="str">
        <f>IF(ISNUMBER(MATCH($D75,$AA$16:$AA$17,0)),"Noise Barrier?",IF(ISNUMBER(MATCH($D76,$AC$9:$AC$14,0)),"Noise Barrier?",""))</f>
        <v>Noise Barrier?</v>
      </c>
      <c r="D87" s="148"/>
      <c r="E87" s="62"/>
      <c r="F87" s="62"/>
      <c r="G87" s="137"/>
      <c r="H87" s="62"/>
      <c r="I87" s="62"/>
      <c r="J87" s="62"/>
      <c r="K87" s="62"/>
      <c r="L87" s="62"/>
      <c r="M87" s="62"/>
      <c r="N87" s="62"/>
      <c r="O87" s="62"/>
      <c r="P87" s="62"/>
      <c r="Q87" s="62"/>
      <c r="R87" s="62"/>
      <c r="AA87" s="160" t="str">
        <f>IF(D$111=$AA$15,AC22,IF(D$111=$AA$16,AC34,IF(D$111=$AA$17,AC46,"")))</f>
        <v>Buses (hybrid)</v>
      </c>
      <c r="AC87" s="160" t="s">
        <v>69</v>
      </c>
      <c r="AK87" s="160" t="s">
        <v>149</v>
      </c>
      <c r="AL87" s="173">
        <f>$AD$30-10*LOG(D28/50)+10*LOG(D29)-35.6</f>
        <v>56.82008053022313</v>
      </c>
      <c r="AN87" s="160" t="s">
        <v>149</v>
      </c>
      <c r="AO87" s="173">
        <f>$AD$30-10*LOG(D46/50)+10*LOG(D47)-35.6</f>
        <v>56.82008053022313</v>
      </c>
      <c r="AQ87" s="160" t="s">
        <v>149</v>
      </c>
      <c r="AR87" s="174">
        <f>$AD$30-10*LOG(D64/50)+10*LOG(D65)-35.6</f>
        <v>47.813926851582245</v>
      </c>
      <c r="AT87" s="160" t="s">
        <v>149</v>
      </c>
      <c r="AU87" s="174">
        <f>$AD$30-10*LOG(D82/50)+10*LOG(D83)-35.6</f>
        <v>53.83452676486187</v>
      </c>
      <c r="AW87" s="160" t="s">
        <v>149</v>
      </c>
      <c r="AX87" s="174" t="e">
        <f>$AD$30-10*LOG(D100/50)+10*LOG(D101)-35.6</f>
        <v>#NUM!</v>
      </c>
      <c r="AZ87" s="160" t="s">
        <v>149</v>
      </c>
      <c r="BA87" s="174" t="e">
        <f>$AD$30-10*LOG(D118/50)+10*LOG(D119)-35.6</f>
        <v>#NUM!</v>
      </c>
    </row>
    <row r="88" spans="1:53" s="161" customFormat="1" x14ac:dyDescent="0.2">
      <c r="A88" s="62"/>
      <c r="B88" s="115"/>
      <c r="C88" s="119" t="str">
        <f>IF(ISNUMBER(MATCH(D76,$AC$27:$AC$29,0)),IF(D85&lt;=300,"Joint Track/Crossover?",""),"")</f>
        <v/>
      </c>
      <c r="D88" s="149"/>
      <c r="E88" s="62"/>
      <c r="F88" s="62"/>
      <c r="G88" s="137"/>
      <c r="H88" s="62"/>
      <c r="I88" s="62"/>
      <c r="J88" s="62"/>
      <c r="K88" s="62"/>
      <c r="L88" s="62"/>
      <c r="M88" s="62"/>
      <c r="N88" s="62"/>
      <c r="O88" s="62"/>
      <c r="P88" s="62"/>
      <c r="Q88" s="62"/>
      <c r="R88" s="62"/>
      <c r="AA88" s="160" t="str">
        <f>IF(D$111=$AA$15,AC23,IF(D$111=$AA$16,AC36,IF(D$111=$AA$17,AC48,"")))</f>
        <v>--</v>
      </c>
      <c r="AC88" s="160" t="s">
        <v>26</v>
      </c>
      <c r="AK88" s="169" t="s">
        <v>176</v>
      </c>
      <c r="AL88" s="177">
        <f>$AD$28+10*LOG(D27)+2*LOG(D28/25)+10*LOG(D29)-35.6+IF(D33="Yes",-5)+IF(D34="Yes",5)+IF(D35="Yes",3)+IF(D36="Yes",4)</f>
        <v>39.259220365454418</v>
      </c>
      <c r="AN88" s="169" t="s">
        <v>176</v>
      </c>
      <c r="AO88" s="177">
        <f>$AD$29+10*LOG(D45)+2*LOG(D46/25)+10*LOG(D47)-35.6+IF(D51="Yes",-5)+IF(D52="Yes",5)+IF(D53="Yes",3)+IF(D54="Yes",4)</f>
        <v>50.030432912651044</v>
      </c>
      <c r="AQ88" s="169" t="s">
        <v>176</v>
      </c>
      <c r="AR88" s="161" t="e">
        <f>$AD$28+10*LOG(D63)+2*LOG(D64/25)+10*LOG(D65)-35.6+IF(D69="Yes",-5)+IF(D70="Yes",5)+IF(D71="Yes",3)+IF(D72="Yes",4)</f>
        <v>#NUM!</v>
      </c>
      <c r="AT88" s="169" t="s">
        <v>176</v>
      </c>
      <c r="AU88" s="161" t="e">
        <f>$AD$28+10*LOG(D81)+2*LOG(D82/25)+10*LOG(D83)-35.6+IF(D87="Yes",-5)+IF(D88="Yes",5)+IF(D89="Yes",3)+IF(D90="Yes",4)</f>
        <v>#NUM!</v>
      </c>
      <c r="AW88" s="169" t="s">
        <v>176</v>
      </c>
      <c r="AX88" s="161" t="e">
        <f>$AD$28+10*LOG(D99)+2*LOG(D100/25)+10*LOG(D101)-35.6+IF(D105="Yes",-5)+IF(D106="Yes",5)+IF(D107="Yes",3)+IF(D108="Yes",4)</f>
        <v>#NUM!</v>
      </c>
      <c r="AZ88" s="169" t="s">
        <v>176</v>
      </c>
      <c r="BA88" s="161" t="e">
        <f>$AD$28+10*LOG(D117)+2*LOG(D118/25)+10*LOG(D119)-35.6+IF(D123="Yes",-5)+IF(D124="Yes",5)+IF(D125="Yes",3)+IF(D126="Yes",4)</f>
        <v>#NUM!</v>
      </c>
    </row>
    <row r="89" spans="1:53" s="161" customFormat="1" x14ac:dyDescent="0.2">
      <c r="A89" s="62"/>
      <c r="B89" s="115"/>
      <c r="C89" s="119" t="str">
        <f>IF(ISNUMBER(MATCH(D76,$AC$27:$AC$29,0)),"Embedded Track?","")</f>
        <v/>
      </c>
      <c r="D89" s="149"/>
      <c r="E89" s="62"/>
      <c r="F89" s="62"/>
      <c r="G89" s="137"/>
      <c r="H89" s="62"/>
      <c r="I89" s="62"/>
      <c r="J89" s="62"/>
      <c r="K89" s="62"/>
      <c r="L89" s="62"/>
      <c r="M89" s="62"/>
      <c r="N89" s="62"/>
      <c r="O89" s="62"/>
      <c r="P89" s="62"/>
      <c r="Q89" s="62"/>
      <c r="R89" s="62"/>
      <c r="AA89" s="160" t="str">
        <f>IF(D$111=$AA$15,AC24,IF(D$111=$AA$16,AC37,IF(D$111=$AA$17,AC49,"")))</f>
        <v>--</v>
      </c>
      <c r="AC89" s="160" t="s">
        <v>127</v>
      </c>
    </row>
    <row r="90" spans="1:53" s="161" customFormat="1" ht="13.5" thickBot="1" x14ac:dyDescent="0.25">
      <c r="A90" s="62"/>
      <c r="B90" s="138"/>
      <c r="C90" s="139" t="str">
        <f>IF(ISNUMBER(MATCH(D76,$AC$27:$AC$29,0)),"Aerial Structure?","")</f>
        <v/>
      </c>
      <c r="D90" s="150"/>
      <c r="E90" s="62"/>
      <c r="F90" s="62"/>
      <c r="G90" s="137"/>
      <c r="H90" s="62"/>
      <c r="I90" s="62"/>
      <c r="J90" s="62"/>
      <c r="K90" s="62"/>
      <c r="L90" s="62"/>
      <c r="M90" s="62"/>
      <c r="N90" s="62"/>
      <c r="O90" s="62"/>
      <c r="P90" s="62"/>
      <c r="Q90" s="62"/>
      <c r="R90" s="62"/>
      <c r="AA90" s="160" t="str">
        <f>IF(D$111=$AA$15,AC25,IF(D$111=$AA$16,AC38,IF(D$111=$AA$17,AC47,"")))</f>
        <v>--</v>
      </c>
      <c r="AD90" s="160" t="s">
        <v>71</v>
      </c>
      <c r="AE90" s="160" t="s">
        <v>95</v>
      </c>
      <c r="AF90" s="160" t="s">
        <v>71</v>
      </c>
      <c r="AG90" s="160" t="s">
        <v>95</v>
      </c>
    </row>
    <row r="91" spans="1:53" s="161" customFormat="1" ht="14.25" thickTop="1" thickBot="1" x14ac:dyDescent="0.25">
      <c r="A91" s="1"/>
      <c r="B91" s="1"/>
      <c r="C91" s="27"/>
      <c r="D91" s="28"/>
      <c r="E91" s="1"/>
      <c r="F91" s="1"/>
      <c r="G91" s="25"/>
      <c r="H91" s="1"/>
      <c r="I91" s="1"/>
      <c r="J91" s="1"/>
      <c r="K91" s="1"/>
      <c r="L91" s="1"/>
      <c r="M91" s="1"/>
      <c r="N91" s="1"/>
      <c r="O91" s="1"/>
      <c r="P91" s="1"/>
      <c r="Q91" s="1"/>
      <c r="R91" s="1"/>
      <c r="AA91" s="160" t="str">
        <f t="shared" ref="AA91:AA94" si="5">IF(D$111=$AA$15,AC26,IF(D$111=$AA$16,AC39,IF(D$111=$AA$17,AC50,"")))</f>
        <v>--</v>
      </c>
      <c r="AC91" s="160" t="s">
        <v>96</v>
      </c>
      <c r="AD91" s="160" t="s">
        <v>97</v>
      </c>
      <c r="AJ91" s="160" t="s">
        <v>105</v>
      </c>
      <c r="AL91" s="160" t="s">
        <v>106</v>
      </c>
    </row>
    <row r="92" spans="1:53" s="161" customFormat="1" ht="13.5" thickTop="1" x14ac:dyDescent="0.2">
      <c r="A92" s="1"/>
      <c r="B92" s="17" t="str">
        <f>IF($D$18&gt;4,"Noise Source Parameters","")</f>
        <v/>
      </c>
      <c r="C92" s="29"/>
      <c r="D92" s="34" t="str">
        <f>IF($D$18&gt;4,"Source 5","")</f>
        <v/>
      </c>
      <c r="E92" s="15"/>
      <c r="F92" s="1"/>
      <c r="G92" s="25"/>
      <c r="H92" s="1"/>
      <c r="I92" s="1"/>
      <c r="J92" s="1"/>
      <c r="K92" s="1"/>
      <c r="L92" s="1"/>
      <c r="M92" s="1"/>
      <c r="N92" s="1"/>
      <c r="O92" s="1"/>
      <c r="P92" s="1"/>
      <c r="Q92" s="1"/>
      <c r="R92" s="1"/>
      <c r="AA92" s="160" t="str">
        <f t="shared" si="5"/>
        <v>--</v>
      </c>
      <c r="AC92" s="160">
        <f>IF(D13&lt;40,D13,39)</f>
        <v>39</v>
      </c>
      <c r="AD92" s="173">
        <f t="shared" ref="AD92:AD134" si="6">IF($D$12&lt;&gt;$AA$11,AJ92,AL92+0)</f>
        <v>48.617000000000004</v>
      </c>
      <c r="AE92" s="173">
        <f t="shared" ref="AE92:AE134" si="7">IF($D$12&lt;&gt;$AA$11,AK92,AK92+5)</f>
        <v>53.981999999999999</v>
      </c>
      <c r="AF92" s="173">
        <f>AH92-$AC92</f>
        <v>10.067174777184029</v>
      </c>
      <c r="AG92" s="173">
        <f>AI92-$AC92</f>
        <v>15.117762092640127</v>
      </c>
      <c r="AH92" s="160">
        <f>10*LOG(10^($AC92/10)+10^(AD92/10))</f>
        <v>49.067174777184029</v>
      </c>
      <c r="AI92" s="160">
        <f>10*LOG(10^($AC92/10)+10^(AE92/10))</f>
        <v>54.117762092640127</v>
      </c>
      <c r="AJ92" s="173">
        <f>11.45+(0.953*$AC92)</f>
        <v>48.617000000000004</v>
      </c>
      <c r="AK92" s="173">
        <f>17.322+(0.94*$AC92)</f>
        <v>53.981999999999999</v>
      </c>
      <c r="AL92" s="160">
        <f>16.45+0.953*AC92</f>
        <v>53.617000000000004</v>
      </c>
      <c r="AM92" s="174">
        <f>22.322+0.94*AC92</f>
        <v>58.981999999999999</v>
      </c>
    </row>
    <row r="93" spans="1:53" s="161" customFormat="1" x14ac:dyDescent="0.2">
      <c r="A93" s="1"/>
      <c r="B93" s="18"/>
      <c r="C93" s="30" t="str">
        <f>IF($D$18&gt;4,"Source Type:","")</f>
        <v/>
      </c>
      <c r="D93" s="35" t="s">
        <v>123</v>
      </c>
      <c r="E93" s="1"/>
      <c r="F93" s="1"/>
      <c r="G93" s="25"/>
      <c r="H93" s="1"/>
      <c r="I93" s="1"/>
      <c r="J93" s="1"/>
      <c r="K93" s="1"/>
      <c r="L93" s="1"/>
      <c r="M93" s="1"/>
      <c r="N93" s="1"/>
      <c r="O93" s="1"/>
      <c r="P93" s="1"/>
      <c r="Q93" s="1"/>
      <c r="R93" s="1"/>
      <c r="AA93" s="160" t="str">
        <f t="shared" si="5"/>
        <v>--</v>
      </c>
      <c r="AC93" s="160">
        <v>40</v>
      </c>
      <c r="AD93" s="173">
        <f t="shared" si="6"/>
        <v>49.569999999999993</v>
      </c>
      <c r="AE93" s="173">
        <f t="shared" si="7"/>
        <v>54.921999999999997</v>
      </c>
      <c r="AF93" s="173">
        <f>AH93-$AC93</f>
        <v>10.024825280449257</v>
      </c>
      <c r="AG93" s="173">
        <f>AI93-$AC93</f>
        <v>15.059621118967932</v>
      </c>
      <c r="AH93" s="160">
        <f>10*LOG(10^($AC93/10)+10^(AD93/10))</f>
        <v>50.024825280449257</v>
      </c>
      <c r="AI93" s="160">
        <f>10*LOG(10^($AC93/10)+10^(AE93/10))</f>
        <v>55.059621118967932</v>
      </c>
      <c r="AJ93" s="173">
        <f>11.45+(0.953*$AC93)</f>
        <v>49.569999999999993</v>
      </c>
      <c r="AK93" s="173">
        <f>17.322+(0.94*$AC93)</f>
        <v>54.921999999999997</v>
      </c>
      <c r="AL93" s="160">
        <f>16.45+0.953*AC93</f>
        <v>54.569999999999993</v>
      </c>
      <c r="AM93" s="174">
        <f>22.322+0.94*AC93</f>
        <v>59.921999999999997</v>
      </c>
    </row>
    <row r="94" spans="1:53" s="161" customFormat="1" ht="13.5" thickBot="1" x14ac:dyDescent="0.25">
      <c r="A94" s="1"/>
      <c r="B94" s="19"/>
      <c r="C94" s="31" t="str">
        <f>IF($D$18&gt;4,"Specific Source:","")</f>
        <v/>
      </c>
      <c r="D94" s="36" t="s">
        <v>116</v>
      </c>
      <c r="E94" s="1"/>
      <c r="F94" s="1"/>
      <c r="G94" s="16" t="str">
        <f>IF($D$18&gt;4,"Source 5  Results","")</f>
        <v/>
      </c>
      <c r="H94" s="1"/>
      <c r="I94" s="1"/>
      <c r="J94" s="1"/>
      <c r="K94" s="1"/>
      <c r="L94" s="1"/>
      <c r="M94" s="1"/>
      <c r="N94" s="1"/>
      <c r="O94" s="1"/>
      <c r="P94" s="1"/>
      <c r="Q94" s="1"/>
      <c r="R94" s="1"/>
      <c r="AA94" s="160" t="str">
        <f t="shared" si="5"/>
        <v>--</v>
      </c>
      <c r="AC94" s="160">
        <v>41</v>
      </c>
      <c r="AD94" s="173">
        <f t="shared" si="6"/>
        <v>50.522999999999996</v>
      </c>
      <c r="AE94" s="173">
        <f t="shared" si="7"/>
        <v>55.861999999999995</v>
      </c>
      <c r="AF94" s="173">
        <f t="shared" ref="AF94:AF134" si="8">AH94-AC94</f>
        <v>9.98252132951189</v>
      </c>
      <c r="AG94" s="173">
        <f t="shared" ref="AG94:AG134" si="9">AI94-$AC94</f>
        <v>15.001505194828013</v>
      </c>
      <c r="AH94" s="160">
        <f t="shared" ref="AH94:AH134" si="10">10*LOG(10^(AC94/10)+10^(AD94/10))</f>
        <v>50.98252132951189</v>
      </c>
      <c r="AI94" s="160">
        <f t="shared" ref="AI94:AI134" si="11">10*LOG(10^($AC94/10)+10^(AE94/10))</f>
        <v>56.001505194828013</v>
      </c>
      <c r="AJ94" s="173">
        <f>11.45+(0.953*$AC94)</f>
        <v>50.522999999999996</v>
      </c>
      <c r="AK94" s="173">
        <f>17.322+(0.94*$AC94)</f>
        <v>55.861999999999995</v>
      </c>
      <c r="AL94" s="160">
        <f>16.45+0.953*AC94</f>
        <v>55.522999999999996</v>
      </c>
      <c r="AM94" s="174">
        <f>22.322+0.94*AC94</f>
        <v>60.861999999999995</v>
      </c>
    </row>
    <row r="95" spans="1:53" s="161" customFormat="1" ht="15" thickTop="1" x14ac:dyDescent="0.2">
      <c r="A95" s="1"/>
      <c r="B95" s="20" t="str">
        <f>IF($D$18&gt;4,IF(D12=AA10,"Daytime hrs","Noisiest hr of"),"")</f>
        <v/>
      </c>
      <c r="C95" s="110" t="str">
        <f>IF($D$18&gt;4,IF($D93=$AA$16,"",INDEX(Parameters,MATCH($D94,$AC$19:$AC$52,0),3)),"")</f>
        <v/>
      </c>
      <c r="D95" s="120"/>
      <c r="E95" s="1"/>
      <c r="F95" s="1"/>
      <c r="G95" s="21" t="str">
        <f>IF($D$18&gt;4,IF($D$12=$AA$10,"Leq(day):","Leqh:"),"")</f>
        <v/>
      </c>
      <c r="H95" s="39" t="str">
        <f>IF($D$18&gt;4,IF(ISERROR(INDEX(LeqDay,MATCH($D94,$AK$33:$AK$59,0),14)),0,INDEX(LeqDay,MATCH($D94,$AK$33:$AK$59,0),14)+IF(Calculations!D93=Calculations!$AA$17,-25*LOG(Calculations!D103/50),-15*LOG(Calculations!D103/50))-MIN(10,IF(D104&gt;0,IF(D104=1,4.5,4.5+((D104-1)*1.5)),0))),"")</f>
        <v/>
      </c>
      <c r="I95" s="1"/>
      <c r="J95" s="1"/>
      <c r="K95" s="1"/>
      <c r="L95" s="1"/>
      <c r="M95" s="1"/>
      <c r="N95" s="1"/>
      <c r="O95" s="1"/>
      <c r="P95" s="1"/>
      <c r="Q95" s="1"/>
      <c r="R95" s="1"/>
      <c r="AA95" s="160" t="str">
        <f>IF(D$111=$AA$15,AC30,IF(D$111=$AA$16,AC42,IF(D$111=$AA$17,AC53,"")))</f>
        <v>--</v>
      </c>
      <c r="AC95" s="160">
        <v>42</v>
      </c>
      <c r="AD95" s="173">
        <f t="shared" si="6"/>
        <v>51.497282560000009</v>
      </c>
      <c r="AE95" s="173">
        <f t="shared" si="7"/>
        <v>56.801999999999992</v>
      </c>
      <c r="AF95" s="173">
        <f t="shared" si="8"/>
        <v>9.9593928930996185</v>
      </c>
      <c r="AG95" s="173">
        <f t="shared" si="9"/>
        <v>14.943414646666099</v>
      </c>
      <c r="AH95" s="160">
        <f t="shared" si="10"/>
        <v>51.959392893099619</v>
      </c>
      <c r="AI95" s="160">
        <f t="shared" si="11"/>
        <v>56.943414646666099</v>
      </c>
      <c r="AJ95" s="173">
        <f t="shared" ref="AJ95:AJ124" si="12">71.662-(1.164*$AC95)+(0.018*$AC95^2)-(0.00004088*$AC95^3)</f>
        <v>51.497282560000009</v>
      </c>
      <c r="AK95" s="173">
        <f>17.322+(0.94*$AC95)</f>
        <v>56.801999999999992</v>
      </c>
      <c r="AL95" s="160">
        <f t="shared" ref="AL95:AL124" si="13">76.662-(1.164*$AC95)+(0.018*$AC95^2)-(0.00004088*$AC95^3)</f>
        <v>56.497282560000009</v>
      </c>
      <c r="AM95" s="174">
        <f>22.322+0.94*AC95</f>
        <v>61.801999999999992</v>
      </c>
    </row>
    <row r="96" spans="1:53" s="161" customFormat="1" ht="14.25" x14ac:dyDescent="0.2">
      <c r="A96" s="1"/>
      <c r="B96" s="20" t="str">
        <f>IF($D$18&gt;4,IF($D$12=$AA$10,"","Activity During"),"")</f>
        <v/>
      </c>
      <c r="C96" s="119" t="str">
        <f>IF($D$18&gt;4,IF(D93=$AA$17,INDEX(Parameters,MATCH($D$22,$AC$19:$AC$52,0),4),"Speed (mph)"),"")</f>
        <v/>
      </c>
      <c r="D96" s="120"/>
      <c r="E96" s="1"/>
      <c r="F96" s="1"/>
      <c r="G96" s="22" t="str">
        <f>IF($D$18&gt;4,IF($D$12=$AA$10,"Leq(night):",""),"")</f>
        <v/>
      </c>
      <c r="H96" s="40" t="str">
        <f>IF($D$18&gt;4,IF($D$12=$AA$10,IF(ISERROR(INDEX(LeqNight,MATCH($D94,$AK$33:$AK$59,0),14)),0,INDEX(LeqNight,MATCH($D94,$AK$33:$AK$59,0),14)+IF(Calculations!D93=Calculations!$AA$17,-25*LOG(Calculations!D103/50),-15*LOG(Calculations!D103/50))-MIN(10,IF(D104&gt;0,IF(D104=1,4.5,4.5+((D104-1)*1.5)),0))),""),"")</f>
        <v/>
      </c>
      <c r="I96" s="1"/>
      <c r="J96" s="1"/>
      <c r="K96" s="1"/>
      <c r="L96" s="1"/>
      <c r="M96" s="1"/>
      <c r="N96" s="1"/>
      <c r="O96" s="1"/>
      <c r="P96" s="1"/>
      <c r="Q96" s="1"/>
      <c r="R96" s="1"/>
      <c r="AC96" s="160">
        <f>+AC95+1</f>
        <v>43</v>
      </c>
      <c r="AD96" s="173">
        <f t="shared" si="6"/>
        <v>51.64175384</v>
      </c>
      <c r="AE96" s="173">
        <f t="shared" si="7"/>
        <v>57.74199999999999</v>
      </c>
      <c r="AF96" s="173">
        <f t="shared" si="8"/>
        <v>9.1982799115886991</v>
      </c>
      <c r="AG96" s="173">
        <f t="shared" si="9"/>
        <v>14.885349804881791</v>
      </c>
      <c r="AH96" s="160">
        <f t="shared" si="10"/>
        <v>52.198279911588699</v>
      </c>
      <c r="AI96" s="160">
        <f t="shared" si="11"/>
        <v>57.885349804881791</v>
      </c>
      <c r="AJ96" s="173">
        <f t="shared" si="12"/>
        <v>51.64175384</v>
      </c>
      <c r="AK96" s="173">
        <f>17.322+(0.94*$AC96)</f>
        <v>57.74199999999999</v>
      </c>
      <c r="AL96" s="160">
        <f t="shared" si="13"/>
        <v>56.64175384</v>
      </c>
      <c r="AM96" s="174">
        <f>22.322+0.94*AC96</f>
        <v>62.74199999999999</v>
      </c>
    </row>
    <row r="97" spans="1:39" s="161" customFormat="1" ht="14.25" x14ac:dyDescent="0.2">
      <c r="A97" s="1"/>
      <c r="B97" s="20" t="str">
        <f>IF($D$18&gt;4,IF($D$12=$AA$10,"","Sensitive hrs"),"")</f>
        <v/>
      </c>
      <c r="C97" s="119" t="str">
        <f>IF($D$18&gt;4,IF($D$12=$AA$10,IF($D93=$AA$15,"Avg. Number of Events/hr",IF($D93=$AA$16,"Avg. Number of Events/hr","")),IF($D93=$AA$15,"Number of Events/hr",IF($D93=$AA$16,"Number of Events/hr",""))),"")</f>
        <v/>
      </c>
      <c r="D97" s="120"/>
      <c r="E97" s="1"/>
      <c r="F97" s="1"/>
      <c r="G97" s="22" t="str">
        <f>IF($D$18&gt;4,IF($D$12=$AA$10,"Ldn:",""),"")</f>
        <v/>
      </c>
      <c r="H97" s="40" t="str">
        <f>IF($D$18&gt;4,IF($D$12=$AA$10,10*LOG(15*10^(H95/10)+9*10^((H96+10)/10))-13.8,""),"")</f>
        <v/>
      </c>
      <c r="I97" s="1"/>
      <c r="J97" s="1"/>
      <c r="K97" s="1"/>
      <c r="L97" s="1"/>
      <c r="M97" s="1"/>
      <c r="N97" s="1"/>
      <c r="O97" s="1"/>
      <c r="P97" s="1"/>
      <c r="Q97" s="1"/>
      <c r="R97" s="1"/>
      <c r="AC97" s="160">
        <f t="shared" ref="AC97:AC133" si="14">+AC96+1</f>
        <v>44</v>
      </c>
      <c r="AD97" s="173">
        <f t="shared" si="6"/>
        <v>51.811678080000014</v>
      </c>
      <c r="AE97" s="173">
        <f t="shared" si="7"/>
        <v>58.659508800000005</v>
      </c>
      <c r="AF97" s="173">
        <f t="shared" si="8"/>
        <v>8.4768494152339997</v>
      </c>
      <c r="AG97" s="173">
        <f t="shared" si="9"/>
        <v>14.805561745045551</v>
      </c>
      <c r="AH97" s="160">
        <f t="shared" si="10"/>
        <v>52.476849415234</v>
      </c>
      <c r="AI97" s="160">
        <f t="shared" si="11"/>
        <v>58.805561745045551</v>
      </c>
      <c r="AJ97" s="173">
        <f t="shared" si="12"/>
        <v>51.811678080000014</v>
      </c>
      <c r="AK97" s="173">
        <f t="shared" ref="AK97:AK130" si="15">96.725-(1.992*$AC97)+(0.0302*$AC97^2)-(0.0001043*$AC97^3)</f>
        <v>58.659508800000005</v>
      </c>
      <c r="AL97" s="160">
        <f t="shared" si="13"/>
        <v>56.811678080000014</v>
      </c>
      <c r="AM97" s="174">
        <f t="shared" ref="AM97:AM130" si="16">101.725-(1.992*$AC97)+(0.0302*$AC97^2)-(0.0001043*$AC97^3)</f>
        <v>63.659508800000005</v>
      </c>
    </row>
    <row r="98" spans="1:39" s="161" customFormat="1" ht="15.75" thickBot="1" x14ac:dyDescent="0.25">
      <c r="A98" s="1"/>
      <c r="B98" s="24"/>
      <c r="C98" s="113"/>
      <c r="D98" s="151"/>
      <c r="E98" s="1"/>
      <c r="F98" s="1"/>
      <c r="G98" s="23" t="str">
        <f>IF($D$18&gt;4,IF($D$12=$AA$10,"Incremental Ldn (Src 1-5):","Incremental Leqh (Src 1-5):"),"")</f>
        <v/>
      </c>
      <c r="H98" s="41" t="str">
        <f>IF($D$18&gt;4,IF($D$12=$AA$10,10*LOG10(10^(H25/10)+10^(H43/10)+10^(H61/10)+10^(H79/10)+10^(H97/10)),10*LOG10(10^(H23/10)+10^(40/10)+10^(H59/10)+10^(H77/10)+10^(H95/10))),"")</f>
        <v/>
      </c>
      <c r="I98" s="1"/>
      <c r="J98" s="1"/>
      <c r="K98" s="1"/>
      <c r="L98" s="1"/>
      <c r="M98" s="1"/>
      <c r="N98" s="1"/>
      <c r="O98" s="1"/>
      <c r="P98" s="1"/>
      <c r="Q98" s="1"/>
      <c r="R98" s="1"/>
      <c r="AA98" s="179"/>
      <c r="AB98" s="180"/>
      <c r="AC98" s="160">
        <f t="shared" si="14"/>
        <v>45</v>
      </c>
      <c r="AD98" s="173">
        <f t="shared" si="6"/>
        <v>52.006810000000009</v>
      </c>
      <c r="AE98" s="173">
        <f t="shared" si="7"/>
        <v>58.735662499999997</v>
      </c>
      <c r="AF98" s="173">
        <f t="shared" si="8"/>
        <v>7.795775478072386</v>
      </c>
      <c r="AG98" s="173">
        <f t="shared" si="9"/>
        <v>13.915627779348149</v>
      </c>
      <c r="AH98" s="160">
        <f t="shared" si="10"/>
        <v>52.795775478072386</v>
      </c>
      <c r="AI98" s="160">
        <f t="shared" si="11"/>
        <v>58.915627779348149</v>
      </c>
      <c r="AJ98" s="173">
        <f t="shared" si="12"/>
        <v>52.006810000000009</v>
      </c>
      <c r="AK98" s="173">
        <f t="shared" si="15"/>
        <v>58.735662499999997</v>
      </c>
      <c r="AL98" s="160">
        <f t="shared" si="13"/>
        <v>57.006810000000009</v>
      </c>
      <c r="AM98" s="174">
        <f t="shared" si="16"/>
        <v>63.735662499999997</v>
      </c>
    </row>
    <row r="99" spans="1:39" s="161" customFormat="1" ht="15.75" thickTop="1" x14ac:dyDescent="0.2">
      <c r="A99" s="1"/>
      <c r="B99" s="20" t="str">
        <f>IF($D$18&gt;4,IF($D$12=$AA$10,"Nighttime hrs",""),"")</f>
        <v/>
      </c>
      <c r="C99" s="110" t="str">
        <f>IF($D$18&gt;4,IF($D$12=$AA$10,IF(D93=$AA$16,"",INDEX(Parameters,MATCH($D94,$AC$19:$AC$52,0),3)),""),"")</f>
        <v/>
      </c>
      <c r="D99" s="116"/>
      <c r="E99" s="1"/>
      <c r="F99" s="1"/>
      <c r="G99" s="25"/>
      <c r="H99" s="1"/>
      <c r="I99" s="1"/>
      <c r="J99" s="1"/>
      <c r="K99" s="1"/>
      <c r="L99" s="1"/>
      <c r="M99" s="1"/>
      <c r="N99" s="1"/>
      <c r="O99" s="1"/>
      <c r="P99" s="1"/>
      <c r="Q99" s="1"/>
      <c r="R99" s="1"/>
      <c r="AA99" s="179"/>
      <c r="AB99" s="180"/>
      <c r="AC99" s="160">
        <f t="shared" si="14"/>
        <v>46</v>
      </c>
      <c r="AD99" s="173">
        <f t="shared" si="6"/>
        <v>52.226904320000003</v>
      </c>
      <c r="AE99" s="173">
        <f t="shared" si="7"/>
        <v>58.844055199999985</v>
      </c>
      <c r="AF99" s="173">
        <f t="shared" si="8"/>
        <v>7.1555201387158576</v>
      </c>
      <c r="AG99" s="173">
        <f t="shared" si="9"/>
        <v>13.064010588686514</v>
      </c>
      <c r="AH99" s="160">
        <f t="shared" si="10"/>
        <v>53.155520138715858</v>
      </c>
      <c r="AI99" s="160">
        <f t="shared" si="11"/>
        <v>59.064010588686514</v>
      </c>
      <c r="AJ99" s="173">
        <f t="shared" si="12"/>
        <v>52.226904320000003</v>
      </c>
      <c r="AK99" s="173">
        <f t="shared" si="15"/>
        <v>58.844055199999985</v>
      </c>
      <c r="AL99" s="160">
        <f t="shared" si="13"/>
        <v>57.226904320000003</v>
      </c>
      <c r="AM99" s="174">
        <f t="shared" si="16"/>
        <v>63.844055199999985</v>
      </c>
    </row>
    <row r="100" spans="1:39" s="161" customFormat="1" ht="15" x14ac:dyDescent="0.2">
      <c r="A100" s="1"/>
      <c r="B100" s="20"/>
      <c r="C100" s="119" t="str">
        <f>IF($D$18&gt;4,IF($D$12=$AA$10,IF($D93=$AA$15,"Speed (mph)",IF($D93=$AA$16,"Speed (mph)",IF($D93=$AA$17,INDEX($AF$43:$AF$52,MATCH(D94,$AC$43:$AC$52,0)),""))),""),"")</f>
        <v/>
      </c>
      <c r="D100" s="120"/>
      <c r="E100" s="1"/>
      <c r="F100" s="1"/>
      <c r="G100" s="25"/>
      <c r="H100" s="1"/>
      <c r="I100" s="1"/>
      <c r="J100" s="1"/>
      <c r="K100" s="1"/>
      <c r="L100" s="1"/>
      <c r="M100" s="1"/>
      <c r="N100" s="1"/>
      <c r="O100" s="1"/>
      <c r="P100" s="1"/>
      <c r="Q100" s="1"/>
      <c r="R100" s="1"/>
      <c r="AA100" s="179"/>
      <c r="AB100" s="180"/>
      <c r="AC100" s="160">
        <f t="shared" si="14"/>
        <v>47</v>
      </c>
      <c r="AD100" s="173">
        <f t="shared" si="6"/>
        <v>52.471715760000009</v>
      </c>
      <c r="AE100" s="173">
        <f t="shared" si="7"/>
        <v>58.984061099999998</v>
      </c>
      <c r="AF100" s="173">
        <f t="shared" si="8"/>
        <v>6.556282858307199</v>
      </c>
      <c r="AG100" s="173">
        <f t="shared" si="9"/>
        <v>12.250732479362405</v>
      </c>
      <c r="AH100" s="160">
        <f t="shared" si="10"/>
        <v>53.556282858307199</v>
      </c>
      <c r="AI100" s="160">
        <f t="shared" si="11"/>
        <v>59.250732479362405</v>
      </c>
      <c r="AJ100" s="173">
        <f t="shared" si="12"/>
        <v>52.471715760000009</v>
      </c>
      <c r="AK100" s="173">
        <f t="shared" si="15"/>
        <v>58.984061099999998</v>
      </c>
      <c r="AL100" s="160">
        <f t="shared" si="13"/>
        <v>57.471715760000009</v>
      </c>
      <c r="AM100" s="174">
        <f t="shared" si="16"/>
        <v>63.984061099999998</v>
      </c>
    </row>
    <row r="101" spans="1:39" s="161" customFormat="1" ht="15" x14ac:dyDescent="0.2">
      <c r="A101" s="1"/>
      <c r="B101" s="20"/>
      <c r="C101" s="119" t="str">
        <f>IF($D$18&gt;4,IF($D$12=$AA$10,IF($D93=$AA$15,"Avg. Number of Events/hr",IF($D93=$AA$16,"Avg. Number of Events/hr","")),""),"")</f>
        <v/>
      </c>
      <c r="D101" s="120"/>
      <c r="E101" s="1"/>
      <c r="F101" s="1"/>
      <c r="G101" s="25"/>
      <c r="H101" s="1"/>
      <c r="I101" s="1"/>
      <c r="J101" s="1"/>
      <c r="K101" s="1"/>
      <c r="L101" s="1"/>
      <c r="M101" s="1"/>
      <c r="N101" s="1"/>
      <c r="O101" s="1"/>
      <c r="P101" s="1"/>
      <c r="Q101" s="1"/>
      <c r="R101" s="1"/>
      <c r="AA101" s="179"/>
      <c r="AB101" s="180"/>
      <c r="AC101" s="160">
        <f t="shared" si="14"/>
        <v>48</v>
      </c>
      <c r="AD101" s="173">
        <f t="shared" si="6"/>
        <v>52.740999039999998</v>
      </c>
      <c r="AE101" s="173">
        <f t="shared" si="7"/>
        <v>59.15505439999999</v>
      </c>
      <c r="AF101" s="173">
        <f t="shared" si="8"/>
        <v>5.9979595113016657</v>
      </c>
      <c r="AG101" s="173">
        <f t="shared" si="9"/>
        <v>11.475787318181006</v>
      </c>
      <c r="AH101" s="160">
        <f t="shared" si="10"/>
        <v>53.997959511301666</v>
      </c>
      <c r="AI101" s="160">
        <f t="shared" si="11"/>
        <v>59.475787318181006</v>
      </c>
      <c r="AJ101" s="173">
        <f t="shared" si="12"/>
        <v>52.740999039999998</v>
      </c>
      <c r="AK101" s="173">
        <f t="shared" si="15"/>
        <v>59.15505439999999</v>
      </c>
      <c r="AL101" s="160">
        <f t="shared" si="13"/>
        <v>57.740999039999998</v>
      </c>
      <c r="AM101" s="174">
        <f t="shared" si="16"/>
        <v>64.155054399999983</v>
      </c>
    </row>
    <row r="102" spans="1:39" s="161" customFormat="1" ht="15" x14ac:dyDescent="0.2">
      <c r="A102" s="1"/>
      <c r="B102" s="24"/>
      <c r="C102" s="113"/>
      <c r="D102" s="151"/>
      <c r="E102" s="1"/>
      <c r="F102" s="1"/>
      <c r="G102" s="25"/>
      <c r="H102" s="1"/>
      <c r="I102" s="1"/>
      <c r="J102" s="1"/>
      <c r="K102" s="1"/>
      <c r="L102" s="1"/>
      <c r="M102" s="1"/>
      <c r="N102" s="1"/>
      <c r="O102" s="1"/>
      <c r="P102" s="1"/>
      <c r="Q102" s="1"/>
      <c r="R102" s="1"/>
      <c r="AA102" s="179"/>
      <c r="AB102" s="180"/>
      <c r="AC102" s="160">
        <f t="shared" si="14"/>
        <v>49</v>
      </c>
      <c r="AD102" s="173">
        <f t="shared" si="6"/>
        <v>53.034508880000004</v>
      </c>
      <c r="AE102" s="173">
        <f t="shared" si="7"/>
        <v>59.356409299999989</v>
      </c>
      <c r="AF102" s="173">
        <f t="shared" si="8"/>
        <v>5.4801150938604195</v>
      </c>
      <c r="AG102" s="173">
        <f t="shared" si="9"/>
        <v>10.739117240345543</v>
      </c>
      <c r="AH102" s="160">
        <f t="shared" si="10"/>
        <v>54.48011509386042</v>
      </c>
      <c r="AI102" s="160">
        <f t="shared" si="11"/>
        <v>59.739117240345543</v>
      </c>
      <c r="AJ102" s="173">
        <f t="shared" si="12"/>
        <v>53.034508880000004</v>
      </c>
      <c r="AK102" s="173">
        <f t="shared" si="15"/>
        <v>59.356409299999989</v>
      </c>
      <c r="AL102" s="160">
        <f t="shared" si="13"/>
        <v>58.034508880000004</v>
      </c>
      <c r="AM102" s="174">
        <f t="shared" si="16"/>
        <v>64.356409299999981</v>
      </c>
    </row>
    <row r="103" spans="1:39" s="161" customFormat="1" ht="15" x14ac:dyDescent="0.2">
      <c r="A103" s="1"/>
      <c r="B103" s="57" t="s">
        <v>19</v>
      </c>
      <c r="C103" s="128" t="str">
        <f>IF($D$18&gt;4,"Distance from Source to Receiver (ft)","")</f>
        <v/>
      </c>
      <c r="D103" s="116"/>
      <c r="E103" s="1"/>
      <c r="F103" s="1"/>
      <c r="G103" s="25"/>
      <c r="H103" s="1"/>
      <c r="I103" s="1"/>
      <c r="J103" s="1"/>
      <c r="K103" s="1"/>
      <c r="L103" s="1"/>
      <c r="M103" s="1"/>
      <c r="N103" s="1"/>
      <c r="O103" s="1"/>
      <c r="P103" s="1"/>
      <c r="Q103" s="1"/>
      <c r="R103" s="1"/>
      <c r="AA103" s="179"/>
      <c r="AB103" s="180"/>
      <c r="AC103" s="160">
        <f t="shared" si="14"/>
        <v>50</v>
      </c>
      <c r="AD103" s="173">
        <f t="shared" si="6"/>
        <v>53.352000000000011</v>
      </c>
      <c r="AE103" s="173">
        <f t="shared" si="7"/>
        <v>59.587499999999999</v>
      </c>
      <c r="AF103" s="173">
        <f t="shared" si="8"/>
        <v>5.0019731542523331</v>
      </c>
      <c r="AG103" s="173">
        <f t="shared" si="9"/>
        <v>10.040588409084577</v>
      </c>
      <c r="AH103" s="160">
        <f t="shared" si="10"/>
        <v>55.001973154252333</v>
      </c>
      <c r="AI103" s="160">
        <f t="shared" si="11"/>
        <v>60.040588409084577</v>
      </c>
      <c r="AJ103" s="173">
        <f t="shared" si="12"/>
        <v>53.352000000000011</v>
      </c>
      <c r="AK103" s="173">
        <f t="shared" si="15"/>
        <v>59.587499999999999</v>
      </c>
      <c r="AL103" s="160">
        <f t="shared" si="13"/>
        <v>58.352000000000011</v>
      </c>
      <c r="AM103" s="174">
        <f t="shared" si="16"/>
        <v>64.587500000000006</v>
      </c>
    </row>
    <row r="104" spans="1:39" s="161" customFormat="1" ht="15" x14ac:dyDescent="0.2">
      <c r="A104" s="1"/>
      <c r="B104" s="56"/>
      <c r="C104" s="131" t="str">
        <f>IF($D$18&gt;4,"Number of Intervening Rows of Buildings","")</f>
        <v/>
      </c>
      <c r="D104" s="151"/>
      <c r="E104" s="1"/>
      <c r="F104" s="1"/>
      <c r="G104" s="1"/>
      <c r="H104" s="1"/>
      <c r="I104" s="1"/>
      <c r="J104" s="1"/>
      <c r="K104" s="1"/>
      <c r="L104" s="1"/>
      <c r="M104" s="1"/>
      <c r="N104" s="1"/>
      <c r="O104" s="1"/>
      <c r="P104" s="1"/>
      <c r="Q104" s="1"/>
      <c r="R104" s="1"/>
      <c r="AA104" s="179"/>
      <c r="AB104" s="181"/>
      <c r="AC104" s="160">
        <f t="shared" si="14"/>
        <v>51</v>
      </c>
      <c r="AD104" s="173">
        <f t="shared" si="6"/>
        <v>53.693227120000003</v>
      </c>
      <c r="AE104" s="173">
        <f t="shared" si="7"/>
        <v>59.847700699999997</v>
      </c>
      <c r="AF104" s="173">
        <f t="shared" si="8"/>
        <v>4.5624232514708183</v>
      </c>
      <c r="AG104" s="173">
        <f t="shared" si="9"/>
        <v>9.3799672101288252</v>
      </c>
      <c r="AH104" s="160">
        <f t="shared" si="10"/>
        <v>55.562423251470818</v>
      </c>
      <c r="AI104" s="160">
        <f t="shared" si="11"/>
        <v>60.379967210128825</v>
      </c>
      <c r="AJ104" s="173">
        <f t="shared" si="12"/>
        <v>53.693227120000003</v>
      </c>
      <c r="AK104" s="173">
        <f t="shared" si="15"/>
        <v>59.847700699999997</v>
      </c>
      <c r="AL104" s="160">
        <f t="shared" si="13"/>
        <v>58.693227120000017</v>
      </c>
      <c r="AM104" s="174">
        <f t="shared" si="16"/>
        <v>64.847700700000004</v>
      </c>
    </row>
    <row r="105" spans="1:39" s="161" customFormat="1" x14ac:dyDescent="0.2">
      <c r="A105" s="1"/>
      <c r="B105" s="20" t="s">
        <v>102</v>
      </c>
      <c r="C105" s="133" t="str">
        <f>IF(ISNUMBER(MATCH($D93,$AA$16:$AA$17,0)),"Noise Barrier?",IF(ISNUMBER(MATCH($D94,$AC$9:$AC$14,0)),"Noise Barrier?",""))</f>
        <v>Noise Barrier?</v>
      </c>
      <c r="D105" s="154"/>
      <c r="E105" s="1"/>
      <c r="F105" s="1"/>
      <c r="G105" s="25"/>
      <c r="H105" s="1"/>
      <c r="I105" s="1"/>
      <c r="J105" s="1"/>
      <c r="K105" s="1"/>
      <c r="L105" s="1"/>
      <c r="M105" s="1"/>
      <c r="N105" s="1"/>
      <c r="O105" s="1"/>
      <c r="P105" s="1"/>
      <c r="Q105" s="1"/>
      <c r="R105" s="1"/>
      <c r="AC105" s="160">
        <f t="shared" si="14"/>
        <v>52</v>
      </c>
      <c r="AD105" s="173">
        <f t="shared" si="6"/>
        <v>54.05794496</v>
      </c>
      <c r="AE105" s="173">
        <f t="shared" si="7"/>
        <v>60.136385599999997</v>
      </c>
      <c r="AF105" s="173">
        <f t="shared" si="8"/>
        <v>4.160045815693806</v>
      </c>
      <c r="AG105" s="173">
        <f t="shared" si="9"/>
        <v>8.7568984290680163</v>
      </c>
      <c r="AH105" s="160">
        <f t="shared" si="10"/>
        <v>56.160045815693806</v>
      </c>
      <c r="AI105" s="160">
        <f t="shared" si="11"/>
        <v>60.756898429068016</v>
      </c>
      <c r="AJ105" s="173">
        <f t="shared" si="12"/>
        <v>54.05794496</v>
      </c>
      <c r="AK105" s="173">
        <f t="shared" si="15"/>
        <v>60.136385599999997</v>
      </c>
      <c r="AL105" s="160">
        <f t="shared" si="13"/>
        <v>59.057944960000015</v>
      </c>
      <c r="AM105" s="174">
        <f t="shared" si="16"/>
        <v>65.136385599999997</v>
      </c>
    </row>
    <row r="106" spans="1:39" s="161" customFormat="1" x14ac:dyDescent="0.2">
      <c r="A106" s="1"/>
      <c r="B106" s="20"/>
      <c r="C106" s="119" t="str">
        <f>IF(ISNUMBER(MATCH(D94,$AC$27:$AC$29,0)),IF(D103&lt;=300,"Joint Track/Crossover?",""),"")</f>
        <v/>
      </c>
      <c r="D106" s="37"/>
      <c r="E106" s="1"/>
      <c r="F106" s="1"/>
      <c r="G106" s="25"/>
      <c r="H106" s="1"/>
      <c r="I106" s="1"/>
      <c r="J106" s="1"/>
      <c r="K106" s="1"/>
      <c r="L106" s="1"/>
      <c r="M106" s="1"/>
      <c r="N106" s="1"/>
      <c r="O106" s="1"/>
      <c r="P106" s="1"/>
      <c r="Q106" s="1"/>
      <c r="R106" s="1"/>
      <c r="AC106" s="160">
        <f t="shared" si="14"/>
        <v>53</v>
      </c>
      <c r="AD106" s="173">
        <f t="shared" si="6"/>
        <v>54.445908240000009</v>
      </c>
      <c r="AE106" s="173">
        <f t="shared" si="7"/>
        <v>60.452928900000003</v>
      </c>
      <c r="AF106" s="173">
        <f t="shared" si="8"/>
        <v>3.7931519626821739</v>
      </c>
      <c r="AG106" s="173">
        <f t="shared" si="9"/>
        <v>8.1708869815823988</v>
      </c>
      <c r="AH106" s="160">
        <f t="shared" si="10"/>
        <v>56.793151962682174</v>
      </c>
      <c r="AI106" s="160">
        <f t="shared" si="11"/>
        <v>61.170886981582399</v>
      </c>
      <c r="AJ106" s="173">
        <f t="shared" si="12"/>
        <v>54.445908240000009</v>
      </c>
      <c r="AK106" s="173">
        <f t="shared" si="15"/>
        <v>60.452928900000003</v>
      </c>
      <c r="AL106" s="160">
        <f t="shared" si="13"/>
        <v>59.445908240000009</v>
      </c>
      <c r="AM106" s="174">
        <f t="shared" si="16"/>
        <v>65.452928900000003</v>
      </c>
    </row>
    <row r="107" spans="1:39" s="161" customFormat="1" x14ac:dyDescent="0.2">
      <c r="A107" s="1"/>
      <c r="B107" s="20"/>
      <c r="C107" s="119" t="str">
        <f>IF(ISNUMBER(MATCH(D94,$AC$27:$AC$29,0)),"Embedded Track?","")</f>
        <v/>
      </c>
      <c r="D107" s="37"/>
      <c r="E107" s="1"/>
      <c r="F107" s="1"/>
      <c r="G107" s="25"/>
      <c r="H107" s="1"/>
      <c r="I107" s="1"/>
      <c r="J107" s="1"/>
      <c r="K107" s="1"/>
      <c r="L107" s="1"/>
      <c r="M107" s="1"/>
      <c r="N107" s="1"/>
      <c r="O107" s="1"/>
      <c r="P107" s="1"/>
      <c r="Q107" s="1"/>
      <c r="R107" s="1"/>
      <c r="AC107" s="160">
        <f t="shared" si="14"/>
        <v>54</v>
      </c>
      <c r="AD107" s="173">
        <f t="shared" si="6"/>
        <v>54.856871680000012</v>
      </c>
      <c r="AE107" s="173">
        <f t="shared" si="7"/>
        <v>60.796704800000001</v>
      </c>
      <c r="AF107" s="173">
        <f t="shared" si="8"/>
        <v>3.4598344194114503</v>
      </c>
      <c r="AG107" s="173">
        <f t="shared" si="9"/>
        <v>7.6212846205644738</v>
      </c>
      <c r="AH107" s="160">
        <f t="shared" si="10"/>
        <v>57.45983441941145</v>
      </c>
      <c r="AI107" s="160">
        <f t="shared" si="11"/>
        <v>61.621284620564474</v>
      </c>
      <c r="AJ107" s="173">
        <f t="shared" si="12"/>
        <v>54.856871680000012</v>
      </c>
      <c r="AK107" s="173">
        <f t="shared" si="15"/>
        <v>60.796704800000001</v>
      </c>
      <c r="AL107" s="160">
        <f t="shared" si="13"/>
        <v>59.856871680000012</v>
      </c>
      <c r="AM107" s="174">
        <f t="shared" si="16"/>
        <v>65.796704800000001</v>
      </c>
    </row>
    <row r="108" spans="1:39" s="161" customFormat="1" ht="13.5" thickBot="1" x14ac:dyDescent="0.25">
      <c r="A108" s="1"/>
      <c r="B108" s="26"/>
      <c r="C108" s="139" t="str">
        <f>IF(ISNUMBER(MATCH(D94,$AC$27:$AC$29,0)),"Aerial Structure?","")</f>
        <v/>
      </c>
      <c r="D108" s="38"/>
      <c r="E108" s="1"/>
      <c r="F108" s="1"/>
      <c r="G108" s="25"/>
      <c r="H108" s="1"/>
      <c r="I108" s="1"/>
      <c r="J108" s="1"/>
      <c r="K108" s="1"/>
      <c r="L108" s="1"/>
      <c r="M108" s="1"/>
      <c r="N108" s="1"/>
      <c r="O108" s="1"/>
      <c r="P108" s="1"/>
      <c r="Q108" s="1"/>
      <c r="R108" s="1"/>
      <c r="AC108" s="160">
        <f t="shared" si="14"/>
        <v>55</v>
      </c>
      <c r="AD108" s="173">
        <f t="shared" si="6"/>
        <v>55.290590000000009</v>
      </c>
      <c r="AE108" s="173">
        <f t="shared" si="7"/>
        <v>61.167087499999994</v>
      </c>
      <c r="AF108" s="173">
        <f t="shared" si="8"/>
        <v>3.1580249552945503</v>
      </c>
      <c r="AG108" s="173">
        <f t="shared" si="9"/>
        <v>7.1072827300593318</v>
      </c>
      <c r="AH108" s="160">
        <f t="shared" si="10"/>
        <v>58.15802495529455</v>
      </c>
      <c r="AI108" s="160">
        <f t="shared" si="11"/>
        <v>62.107282730059332</v>
      </c>
      <c r="AJ108" s="173">
        <f t="shared" si="12"/>
        <v>55.290590000000009</v>
      </c>
      <c r="AK108" s="173">
        <f t="shared" si="15"/>
        <v>61.167087499999994</v>
      </c>
      <c r="AL108" s="160">
        <f t="shared" si="13"/>
        <v>60.290590000000009</v>
      </c>
      <c r="AM108" s="174">
        <f t="shared" si="16"/>
        <v>66.167087499999994</v>
      </c>
    </row>
    <row r="109" spans="1:39" s="161" customFormat="1" ht="14.25" thickTop="1" thickBot="1" x14ac:dyDescent="0.25">
      <c r="A109" s="1"/>
      <c r="B109" s="1"/>
      <c r="C109" s="27"/>
      <c r="D109" s="28"/>
      <c r="E109" s="1"/>
      <c r="F109" s="1"/>
      <c r="G109" s="25"/>
      <c r="H109" s="1"/>
      <c r="I109" s="1"/>
      <c r="J109" s="1"/>
      <c r="K109" s="1"/>
      <c r="L109" s="1"/>
      <c r="M109" s="1"/>
      <c r="N109" s="1"/>
      <c r="O109" s="1"/>
      <c r="P109" s="1"/>
      <c r="Q109" s="1"/>
      <c r="R109" s="1"/>
      <c r="AC109" s="160">
        <f t="shared" si="14"/>
        <v>56</v>
      </c>
      <c r="AD109" s="173">
        <f t="shared" si="6"/>
        <v>55.746817919999998</v>
      </c>
      <c r="AE109" s="173">
        <f t="shared" si="7"/>
        <v>61.563451200000003</v>
      </c>
      <c r="AF109" s="173">
        <f t="shared" si="8"/>
        <v>2.885553635291501</v>
      </c>
      <c r="AG109" s="173">
        <f t="shared" si="9"/>
        <v>6.6279118621947291</v>
      </c>
      <c r="AH109" s="160">
        <f t="shared" si="10"/>
        <v>58.885553635291501</v>
      </c>
      <c r="AI109" s="160">
        <f t="shared" si="11"/>
        <v>62.627911862194729</v>
      </c>
      <c r="AJ109" s="173">
        <f t="shared" si="12"/>
        <v>55.746817919999998</v>
      </c>
      <c r="AK109" s="173">
        <f t="shared" si="15"/>
        <v>61.563451200000003</v>
      </c>
      <c r="AL109" s="160">
        <f t="shared" si="13"/>
        <v>60.746817919999998</v>
      </c>
      <c r="AM109" s="174">
        <f t="shared" si="16"/>
        <v>66.563451200000003</v>
      </c>
    </row>
    <row r="110" spans="1:39" s="161" customFormat="1" ht="13.5" thickTop="1" x14ac:dyDescent="0.2">
      <c r="A110" s="1"/>
      <c r="B110" s="17" t="str">
        <f>IF($D$18&gt;5,"Noise Source Parameters","")</f>
        <v/>
      </c>
      <c r="C110" s="29"/>
      <c r="D110" s="34" t="str">
        <f>IF($D$18&gt;5,"Source 6","")</f>
        <v/>
      </c>
      <c r="E110" s="15"/>
      <c r="F110" s="1"/>
      <c r="G110" s="25"/>
      <c r="H110" s="1"/>
      <c r="I110" s="1"/>
      <c r="J110" s="1"/>
      <c r="K110" s="1"/>
      <c r="L110" s="1"/>
      <c r="M110" s="1"/>
      <c r="N110" s="1"/>
      <c r="O110" s="1"/>
      <c r="P110" s="1"/>
      <c r="Q110" s="1"/>
      <c r="R110" s="1"/>
      <c r="AC110" s="160">
        <f t="shared" si="14"/>
        <v>57</v>
      </c>
      <c r="AD110" s="173">
        <f t="shared" si="6"/>
        <v>56.225310159999999</v>
      </c>
      <c r="AE110" s="173">
        <f t="shared" si="7"/>
        <v>61.985170099999991</v>
      </c>
      <c r="AF110" s="173">
        <f t="shared" si="8"/>
        <v>2.6402057268255987</v>
      </c>
      <c r="AG110" s="173">
        <f t="shared" si="9"/>
        <v>6.1820481341276547</v>
      </c>
      <c r="AH110" s="160">
        <f t="shared" si="10"/>
        <v>59.640205726825599</v>
      </c>
      <c r="AI110" s="160">
        <f t="shared" si="11"/>
        <v>63.182048134127655</v>
      </c>
      <c r="AJ110" s="173">
        <f t="shared" si="12"/>
        <v>56.225310159999999</v>
      </c>
      <c r="AK110" s="173">
        <f t="shared" si="15"/>
        <v>61.985170099999991</v>
      </c>
      <c r="AL110" s="160">
        <f t="shared" si="13"/>
        <v>61.225310159999992</v>
      </c>
      <c r="AM110" s="174">
        <f t="shared" si="16"/>
        <v>66.985170099999991</v>
      </c>
    </row>
    <row r="111" spans="1:39" s="161" customFormat="1" x14ac:dyDescent="0.2">
      <c r="A111" s="1"/>
      <c r="B111" s="18"/>
      <c r="C111" s="30" t="str">
        <f>IF($D$18&gt;5,"Source Type:","")</f>
        <v/>
      </c>
      <c r="D111" s="35" t="s">
        <v>166</v>
      </c>
      <c r="E111" s="1"/>
      <c r="F111" s="1"/>
      <c r="G111" s="25"/>
      <c r="H111" s="1"/>
      <c r="I111" s="1"/>
      <c r="J111" s="1"/>
      <c r="K111" s="1"/>
      <c r="L111" s="1"/>
      <c r="M111" s="1"/>
      <c r="N111" s="1"/>
      <c r="O111" s="1"/>
      <c r="P111" s="1"/>
      <c r="Q111" s="1"/>
      <c r="R111" s="1"/>
      <c r="AC111" s="160">
        <f t="shared" si="14"/>
        <v>58</v>
      </c>
      <c r="AD111" s="173">
        <f t="shared" si="6"/>
        <v>56.725821439999997</v>
      </c>
      <c r="AE111" s="173">
        <f t="shared" si="7"/>
        <v>62.431618399999991</v>
      </c>
      <c r="AF111" s="173">
        <f t="shared" si="8"/>
        <v>2.419773013427907</v>
      </c>
      <c r="AG111" s="173">
        <f t="shared" si="9"/>
        <v>5.7684260482902587</v>
      </c>
      <c r="AH111" s="160">
        <f t="shared" si="10"/>
        <v>60.419773013427907</v>
      </c>
      <c r="AI111" s="160">
        <f t="shared" si="11"/>
        <v>63.768426048290259</v>
      </c>
      <c r="AJ111" s="173">
        <f t="shared" si="12"/>
        <v>56.725821439999997</v>
      </c>
      <c r="AK111" s="173">
        <f t="shared" si="15"/>
        <v>62.431618399999991</v>
      </c>
      <c r="AL111" s="160">
        <f t="shared" si="13"/>
        <v>61.725821439999997</v>
      </c>
      <c r="AM111" s="174">
        <f t="shared" si="16"/>
        <v>67.431618399999991</v>
      </c>
    </row>
    <row r="112" spans="1:39" s="161" customFormat="1" ht="13.5" thickBot="1" x14ac:dyDescent="0.25">
      <c r="A112" s="1"/>
      <c r="B112" s="19"/>
      <c r="C112" s="31" t="str">
        <f>IF($D$18&gt;5,"Specific Source:","")</f>
        <v/>
      </c>
      <c r="D112" s="36" t="s">
        <v>153</v>
      </c>
      <c r="E112" s="1"/>
      <c r="F112" s="1"/>
      <c r="G112" s="16" t="str">
        <f>IF($D$18&gt;5,"Source 6  Results","")</f>
        <v/>
      </c>
      <c r="H112" s="1"/>
      <c r="I112" s="1"/>
      <c r="J112" s="1"/>
      <c r="K112" s="1"/>
      <c r="L112" s="1"/>
      <c r="M112" s="1"/>
      <c r="N112" s="1"/>
      <c r="O112" s="1"/>
      <c r="P112" s="1"/>
      <c r="Q112" s="1"/>
      <c r="R112" s="1"/>
      <c r="AC112" s="160">
        <f t="shared" si="14"/>
        <v>59</v>
      </c>
      <c r="AD112" s="173">
        <f t="shared" si="6"/>
        <v>57.248106480000004</v>
      </c>
      <c r="AE112" s="173">
        <f t="shared" si="7"/>
        <v>62.90217029999998</v>
      </c>
      <c r="AF112" s="173">
        <f t="shared" si="8"/>
        <v>2.2220973723047805</v>
      </c>
      <c r="AG112" s="173">
        <f t="shared" si="9"/>
        <v>5.3856568043905639</v>
      </c>
      <c r="AH112" s="160">
        <f t="shared" si="10"/>
        <v>61.222097372304781</v>
      </c>
      <c r="AI112" s="160">
        <f t="shared" si="11"/>
        <v>64.385656804390564</v>
      </c>
      <c r="AJ112" s="173">
        <f t="shared" si="12"/>
        <v>57.248106480000004</v>
      </c>
      <c r="AK112" s="173">
        <f t="shared" si="15"/>
        <v>62.90217029999998</v>
      </c>
      <c r="AL112" s="160">
        <f t="shared" si="13"/>
        <v>62.248106480000004</v>
      </c>
      <c r="AM112" s="174">
        <f t="shared" si="16"/>
        <v>67.90217029999998</v>
      </c>
    </row>
    <row r="113" spans="1:39" s="161" customFormat="1" ht="15" thickTop="1" x14ac:dyDescent="0.2">
      <c r="A113" s="1"/>
      <c r="B113" s="20" t="str">
        <f>IF($D$18&gt;5,IF(D12=AA10,"Daytime hrs","Noisiest hr of"),"")</f>
        <v/>
      </c>
      <c r="C113" s="110" t="str">
        <f>IF($D$18&gt;5,IF($D111=$AA$16,"",INDEX(Parameters,MATCH($D112,$AC$19:$AC$52,0),3)),"")</f>
        <v/>
      </c>
      <c r="D113" s="120"/>
      <c r="E113" s="1"/>
      <c r="F113" s="1"/>
      <c r="G113" s="21" t="str">
        <f>IF($D$18&gt;5,IF($D$12=$AA$10,"Leq(day):","Leqh:"),"")</f>
        <v/>
      </c>
      <c r="H113" s="39">
        <f>IF(ISERROR(INDEX(LeqDay,MATCH($D112,$AK$33:$AK$59,0),17)),0,INDEX(LeqDay,MATCH($D112,$AK$33:$AK$59,0),17)+IF(Calculations!D111=Calculations!$AA$17,-25*LOG(Calculations!D121/50),-15*LOG(Calculations!D121/50))-MIN(10,IF(D122&gt;0,IF(D122=1,4.5,4.5+((D122-1)*1.5)),0)))</f>
        <v>0</v>
      </c>
      <c r="I113" s="1"/>
      <c r="J113" s="1"/>
      <c r="K113" s="1"/>
      <c r="L113" s="1"/>
      <c r="M113" s="1"/>
      <c r="N113" s="1"/>
      <c r="O113" s="1"/>
      <c r="P113" s="1"/>
      <c r="Q113" s="1"/>
      <c r="R113" s="1"/>
      <c r="AC113" s="160">
        <f t="shared" si="14"/>
        <v>60</v>
      </c>
      <c r="AD113" s="173">
        <f t="shared" si="6"/>
        <v>57.791920000000012</v>
      </c>
      <c r="AE113" s="173">
        <f t="shared" si="7"/>
        <v>63.396199999999993</v>
      </c>
      <c r="AF113" s="173">
        <f t="shared" si="8"/>
        <v>2.0451055609390778</v>
      </c>
      <c r="AG113" s="173">
        <f t="shared" si="9"/>
        <v>5.0322507974349406</v>
      </c>
      <c r="AH113" s="160">
        <f t="shared" si="10"/>
        <v>62.045105560939078</v>
      </c>
      <c r="AI113" s="160">
        <f t="shared" si="11"/>
        <v>65.032250797434941</v>
      </c>
      <c r="AJ113" s="173">
        <f t="shared" si="12"/>
        <v>57.791920000000012</v>
      </c>
      <c r="AK113" s="173">
        <f t="shared" si="15"/>
        <v>63.396199999999993</v>
      </c>
      <c r="AL113" s="160">
        <f t="shared" si="13"/>
        <v>62.791920000000012</v>
      </c>
      <c r="AM113" s="174">
        <f t="shared" si="16"/>
        <v>68.396199999999993</v>
      </c>
    </row>
    <row r="114" spans="1:39" s="161" customFormat="1" ht="14.25" x14ac:dyDescent="0.2">
      <c r="A114" s="1"/>
      <c r="B114" s="20" t="str">
        <f>IF($D$18&gt;5,IF($D$12=$AA$10,"","Activity During"),"")</f>
        <v/>
      </c>
      <c r="C114" s="119" t="str">
        <f>IF($D$18&gt;5,IF(D111=$AA$17,INDEX(Parameters,MATCH($D$22,$AC$19:$AC$52,0),4),"Speed (mph)"),"")</f>
        <v/>
      </c>
      <c r="D114" s="120"/>
      <c r="E114" s="1"/>
      <c r="F114" s="1"/>
      <c r="G114" s="22" t="str">
        <f>IF($D$18&gt;5,IF($D$12=$AA$10,"Leq(night):",""),"")</f>
        <v/>
      </c>
      <c r="H114" s="40">
        <f>IF($D$12=$AA$10,IF(ISERROR(INDEX(LeqNight,MATCH($D112,$AK$33:$AK$59,0),17)),0,INDEX(LeqNight,MATCH($D112,$AK$33:$AK$59,0),17)+IF(Calculations!D111=Calculations!$AA$17,-25*LOG(Calculations!D121/50),-15*LOG(Calculations!D121/50))-MIN(10,IF(D122&gt;0,IF(D122=1,4.5,4.5+((D122-1)*1.5)),0))),"")</f>
        <v>0</v>
      </c>
      <c r="I114" s="1"/>
      <c r="J114" s="1"/>
      <c r="K114" s="1"/>
      <c r="L114" s="1"/>
      <c r="M114" s="1"/>
      <c r="N114" s="1"/>
      <c r="O114" s="1"/>
      <c r="P114" s="1"/>
      <c r="Q114" s="1"/>
      <c r="R114" s="1"/>
      <c r="AC114" s="160">
        <f t="shared" si="14"/>
        <v>61</v>
      </c>
      <c r="AD114" s="173">
        <f t="shared" si="6"/>
        <v>58.357016720000011</v>
      </c>
      <c r="AE114" s="173">
        <f t="shared" si="7"/>
        <v>63.913081699999992</v>
      </c>
      <c r="AF114" s="173">
        <f t="shared" si="8"/>
        <v>1.8868350870482473</v>
      </c>
      <c r="AG114" s="173">
        <f t="shared" si="9"/>
        <v>4.7066427811312792</v>
      </c>
      <c r="AH114" s="160">
        <f t="shared" si="10"/>
        <v>62.886835087048247</v>
      </c>
      <c r="AI114" s="160">
        <f t="shared" si="11"/>
        <v>65.706642781131279</v>
      </c>
      <c r="AJ114" s="173">
        <f t="shared" si="12"/>
        <v>58.357016720000011</v>
      </c>
      <c r="AK114" s="173">
        <f t="shared" si="15"/>
        <v>63.913081699999992</v>
      </c>
      <c r="AL114" s="160">
        <f t="shared" si="13"/>
        <v>63.357016720000011</v>
      </c>
      <c r="AM114" s="174">
        <f t="shared" si="16"/>
        <v>68.913081699999992</v>
      </c>
    </row>
    <row r="115" spans="1:39" s="161" customFormat="1" ht="14.25" x14ac:dyDescent="0.2">
      <c r="A115" s="1"/>
      <c r="B115" s="20" t="str">
        <f>IF($D$18&gt;5,IF($D$12=$AA$10,"","Sensitive hrs"),"")</f>
        <v/>
      </c>
      <c r="C115" s="119" t="str">
        <f>IF($D$18&gt;5,IF($D$12=$AA$10,IF($D111=$AA$15,"Avg. Number of Events/hr",IF($D111=$AA$16,"Avg. Number of Events/hr","")),IF($D111=$AA$15,"Number of Events/hr",IF($D111=$AA$16,"Number of Events/hr",""))),"")</f>
        <v/>
      </c>
      <c r="D115" s="120"/>
      <c r="E115" s="1"/>
      <c r="F115" s="1"/>
      <c r="G115" s="22" t="str">
        <f>IF($D$18&gt;5,IF($D$12=$AA$10,"Ldn:",""),"")</f>
        <v/>
      </c>
      <c r="H115" s="40" t="str">
        <f>IF($D$18&gt;5,IF($D$12=$AA$10,10*LOG(15*10^(H113/10)+9*10^((H114+10)/10))-13.8,""),"")</f>
        <v/>
      </c>
      <c r="I115" s="1"/>
      <c r="J115" s="1"/>
      <c r="K115" s="1"/>
      <c r="L115" s="1"/>
      <c r="M115" s="1"/>
      <c r="N115" s="1"/>
      <c r="O115" s="1"/>
      <c r="P115" s="1"/>
      <c r="Q115" s="1"/>
      <c r="R115" s="1"/>
      <c r="AC115" s="160">
        <f t="shared" si="14"/>
        <v>62</v>
      </c>
      <c r="AD115" s="173">
        <f t="shared" si="6"/>
        <v>58.943151360000009</v>
      </c>
      <c r="AE115" s="173">
        <f t="shared" si="7"/>
        <v>64.452189599999997</v>
      </c>
      <c r="AF115" s="173">
        <f t="shared" si="8"/>
        <v>1.745451732076539</v>
      </c>
      <c r="AG115" s="173">
        <f t="shared" si="9"/>
        <v>4.4072181307340657</v>
      </c>
      <c r="AH115" s="160">
        <f t="shared" si="10"/>
        <v>63.745451732076539</v>
      </c>
      <c r="AI115" s="160">
        <f t="shared" si="11"/>
        <v>66.407218130734066</v>
      </c>
      <c r="AJ115" s="173">
        <f t="shared" si="12"/>
        <v>58.943151360000009</v>
      </c>
      <c r="AK115" s="173">
        <f t="shared" si="15"/>
        <v>64.452189599999997</v>
      </c>
      <c r="AL115" s="160">
        <f t="shared" si="13"/>
        <v>63.943151360000009</v>
      </c>
      <c r="AM115" s="174">
        <f t="shared" si="16"/>
        <v>69.452189599999997</v>
      </c>
    </row>
    <row r="116" spans="1:39" s="161" customFormat="1" ht="15" thickBot="1" x14ac:dyDescent="0.25">
      <c r="A116" s="1"/>
      <c r="B116" s="24"/>
      <c r="C116" s="113"/>
      <c r="D116" s="151"/>
      <c r="E116" s="1"/>
      <c r="F116" s="1"/>
      <c r="G116" s="23" t="str">
        <f>IF($D$18&gt;5,IF($D$12=$AA$10,"Incremental Ldn (Src 1-6):","Incremental Leqh (Src 1-6):"),"")</f>
        <v/>
      </c>
      <c r="H116" s="41" t="str">
        <f>IF($D$18&gt;5,IF($D$12=$AA$10,10*LOG10(10^(H25/10)+10^(H43/10)+10^(H61/10)+10^(H79/10)+10^(H97/10)+10^(H115/10)),10*LOG10(10^(H23/10)+10^(H41/10)+10^(H59/10)+10^(H77/10)+10^(H95/10)+10^(H113/10))),"")</f>
        <v/>
      </c>
      <c r="I116" s="1"/>
      <c r="J116" s="1"/>
      <c r="K116" s="1"/>
      <c r="L116" s="1"/>
      <c r="M116" s="1"/>
      <c r="N116" s="1"/>
      <c r="O116" s="1"/>
      <c r="P116" s="1"/>
      <c r="Q116" s="1"/>
      <c r="R116" s="1"/>
      <c r="AC116" s="160">
        <f t="shared" si="14"/>
        <v>63</v>
      </c>
      <c r="AD116" s="173">
        <f t="shared" si="6"/>
        <v>59.550078640000009</v>
      </c>
      <c r="AE116" s="173">
        <f t="shared" si="7"/>
        <v>65.012897899999999</v>
      </c>
      <c r="AF116" s="173">
        <f t="shared" si="8"/>
        <v>1.6192597456183364</v>
      </c>
      <c r="AG116" s="173">
        <f t="shared" si="9"/>
        <v>4.1323387472726836</v>
      </c>
      <c r="AH116" s="160">
        <f t="shared" si="10"/>
        <v>64.619259745618336</v>
      </c>
      <c r="AI116" s="160">
        <f t="shared" si="11"/>
        <v>67.132338747272684</v>
      </c>
      <c r="AJ116" s="173">
        <f t="shared" si="12"/>
        <v>59.550078640000009</v>
      </c>
      <c r="AK116" s="173">
        <f t="shared" si="15"/>
        <v>65.012897899999999</v>
      </c>
      <c r="AL116" s="160">
        <f t="shared" si="13"/>
        <v>64.550078640000009</v>
      </c>
      <c r="AM116" s="174">
        <f t="shared" si="16"/>
        <v>70.012897899999999</v>
      </c>
    </row>
    <row r="117" spans="1:39" s="161" customFormat="1" ht="13.5" thickTop="1" x14ac:dyDescent="0.2">
      <c r="A117" s="1"/>
      <c r="B117" s="20" t="str">
        <f>IF($D$18&gt;5,IF($D$12=$AA$10,"Nighttime hrs",""),"")</f>
        <v/>
      </c>
      <c r="C117" s="110" t="str">
        <f>IF($D$18&gt;5,IF($D$12=$AA$10,IF(D111=$AA$16,"",INDEX(Parameters,MATCH($D112,$AC$19:$AC$52,0),3)),""),"")</f>
        <v/>
      </c>
      <c r="D117" s="116"/>
      <c r="E117" s="1"/>
      <c r="F117" s="1"/>
      <c r="G117" s="1"/>
      <c r="H117" s="1"/>
      <c r="I117" s="1"/>
      <c r="J117" s="1"/>
      <c r="K117" s="1"/>
      <c r="L117" s="1"/>
      <c r="M117" s="1"/>
      <c r="N117" s="1"/>
      <c r="O117" s="1"/>
      <c r="P117" s="1"/>
      <c r="Q117" s="1"/>
      <c r="R117" s="1"/>
      <c r="AC117" s="160">
        <f t="shared" si="14"/>
        <v>64</v>
      </c>
      <c r="AD117" s="173">
        <f t="shared" si="6"/>
        <v>60.177553280000005</v>
      </c>
      <c r="AE117" s="173">
        <f t="shared" si="7"/>
        <v>65.594580800000003</v>
      </c>
      <c r="AF117" s="173">
        <f t="shared" si="8"/>
        <v>1.5067059528339684</v>
      </c>
      <c r="AG117" s="173">
        <f t="shared" si="9"/>
        <v>3.880367369998595</v>
      </c>
      <c r="AH117" s="160">
        <f t="shared" si="10"/>
        <v>65.506705952833968</v>
      </c>
      <c r="AI117" s="160">
        <f t="shared" si="11"/>
        <v>67.880367369998595</v>
      </c>
      <c r="AJ117" s="173">
        <f t="shared" si="12"/>
        <v>60.177553280000005</v>
      </c>
      <c r="AK117" s="173">
        <f t="shared" si="15"/>
        <v>65.594580800000003</v>
      </c>
      <c r="AL117" s="160">
        <f t="shared" si="13"/>
        <v>65.177553280000012</v>
      </c>
      <c r="AM117" s="174">
        <f t="shared" si="16"/>
        <v>70.594580800000003</v>
      </c>
    </row>
    <row r="118" spans="1:39" s="161" customFormat="1" x14ac:dyDescent="0.2">
      <c r="A118" s="1"/>
      <c r="B118" s="20"/>
      <c r="C118" s="119" t="str">
        <f>IF($D$18&gt;5,IF($D$12=$AA$10,IF($D111=$AA$15,"Speed (mph)",IF($D111=$AA$16,"Speed (mph)",IF($D111=$AA$17,INDEX($AF$43:$AF$52,MATCH(D112,$AC$43:$AC$52,0)),""))),""),"")</f>
        <v/>
      </c>
      <c r="D118" s="120"/>
      <c r="E118" s="1"/>
      <c r="F118" s="1"/>
      <c r="G118" s="1"/>
      <c r="H118" s="1"/>
      <c r="I118" s="1"/>
      <c r="J118" s="1"/>
      <c r="K118" s="1"/>
      <c r="L118" s="1"/>
      <c r="M118" s="1"/>
      <c r="N118" s="1"/>
      <c r="O118" s="1"/>
      <c r="P118" s="1"/>
      <c r="Q118" s="1"/>
      <c r="R118" s="1"/>
      <c r="AC118" s="160">
        <f t="shared" si="14"/>
        <v>65</v>
      </c>
      <c r="AD118" s="173">
        <f t="shared" si="6"/>
        <v>60.825330000000008</v>
      </c>
      <c r="AE118" s="173">
        <f t="shared" si="7"/>
        <v>66.196612500000001</v>
      </c>
      <c r="AF118" s="173">
        <f t="shared" si="8"/>
        <v>1.406379066905032</v>
      </c>
      <c r="AG118" s="173">
        <f t="shared" si="9"/>
        <v>3.6496893597085602</v>
      </c>
      <c r="AH118" s="160">
        <f t="shared" si="10"/>
        <v>66.406379066905032</v>
      </c>
      <c r="AI118" s="160">
        <f t="shared" si="11"/>
        <v>68.64968935970856</v>
      </c>
      <c r="AJ118" s="173">
        <f t="shared" si="12"/>
        <v>60.825330000000008</v>
      </c>
      <c r="AK118" s="173">
        <f t="shared" si="15"/>
        <v>66.196612500000001</v>
      </c>
      <c r="AL118" s="160">
        <f t="shared" si="13"/>
        <v>65.825330000000008</v>
      </c>
      <c r="AM118" s="174">
        <f t="shared" si="16"/>
        <v>71.196612500000001</v>
      </c>
    </row>
    <row r="119" spans="1:39" s="161" customFormat="1" x14ac:dyDescent="0.2">
      <c r="A119" s="1"/>
      <c r="B119" s="20"/>
      <c r="C119" s="119" t="str">
        <f>IF($D$18&gt;5,IF($D$12=$AA$10,IF($D111=$AA$15,"Avg. Number of Events/hr",IF($D111=$AA$16,"Avg. Number of Events/hr","")),""),"")</f>
        <v/>
      </c>
      <c r="D119" s="120"/>
      <c r="E119" s="1"/>
      <c r="F119" s="1"/>
      <c r="G119" s="1"/>
      <c r="H119" s="1"/>
      <c r="I119" s="1"/>
      <c r="J119" s="1"/>
      <c r="K119" s="1"/>
      <c r="L119" s="1"/>
      <c r="M119" s="1"/>
      <c r="N119" s="1"/>
      <c r="O119" s="1"/>
      <c r="P119" s="1"/>
      <c r="Q119" s="1"/>
      <c r="R119" s="1"/>
      <c r="AC119" s="160">
        <f t="shared" si="14"/>
        <v>66</v>
      </c>
      <c r="AD119" s="173">
        <f t="shared" si="6"/>
        <v>61.493163519999996</v>
      </c>
      <c r="AE119" s="173">
        <f t="shared" si="7"/>
        <v>66.818367199999983</v>
      </c>
      <c r="AF119" s="173">
        <f t="shared" si="8"/>
        <v>1.3170054275395415</v>
      </c>
      <c r="AG119" s="173">
        <f t="shared" si="9"/>
        <v>3.4387313360724221</v>
      </c>
      <c r="AH119" s="160">
        <f t="shared" si="10"/>
        <v>67.317005427539542</v>
      </c>
      <c r="AI119" s="160">
        <f t="shared" si="11"/>
        <v>69.438731336072422</v>
      </c>
      <c r="AJ119" s="173">
        <f t="shared" si="12"/>
        <v>61.493163519999996</v>
      </c>
      <c r="AK119" s="173">
        <f t="shared" si="15"/>
        <v>66.818367199999983</v>
      </c>
      <c r="AL119" s="160">
        <f t="shared" si="13"/>
        <v>66.493163519999996</v>
      </c>
      <c r="AM119" s="174">
        <f t="shared" si="16"/>
        <v>71.818367199999983</v>
      </c>
    </row>
    <row r="120" spans="1:39" s="161" customFormat="1" ht="14.25" x14ac:dyDescent="0.2">
      <c r="A120" s="1"/>
      <c r="B120" s="24"/>
      <c r="C120" s="113"/>
      <c r="D120" s="151"/>
      <c r="E120" s="1"/>
      <c r="F120" s="1"/>
      <c r="G120" s="1"/>
      <c r="H120" s="32"/>
      <c r="I120" s="1"/>
      <c r="J120" s="1"/>
      <c r="K120" s="1"/>
      <c r="L120" s="1"/>
      <c r="M120" s="1"/>
      <c r="N120" s="1"/>
      <c r="O120" s="1"/>
      <c r="P120" s="1"/>
      <c r="Q120" s="1"/>
      <c r="R120" s="1"/>
      <c r="AC120" s="160">
        <f t="shared" si="14"/>
        <v>67</v>
      </c>
      <c r="AD120" s="173">
        <f t="shared" si="6"/>
        <v>62.180808560000003</v>
      </c>
      <c r="AE120" s="173">
        <f t="shared" si="7"/>
        <v>67.459219099999999</v>
      </c>
      <c r="AF120" s="173">
        <f t="shared" si="8"/>
        <v>1.2374422434303227</v>
      </c>
      <c r="AG120" s="173">
        <f t="shared" si="9"/>
        <v>3.2459763581985186</v>
      </c>
      <c r="AH120" s="160">
        <f t="shared" si="10"/>
        <v>68.237442243430323</v>
      </c>
      <c r="AI120" s="160">
        <f t="shared" si="11"/>
        <v>70.245976358198519</v>
      </c>
      <c r="AJ120" s="173">
        <f t="shared" si="12"/>
        <v>62.180808560000003</v>
      </c>
      <c r="AK120" s="173">
        <f t="shared" si="15"/>
        <v>67.459219099999999</v>
      </c>
      <c r="AL120" s="160">
        <f t="shared" si="13"/>
        <v>67.180808560000003</v>
      </c>
      <c r="AM120" s="174">
        <f t="shared" si="16"/>
        <v>72.459219099999999</v>
      </c>
    </row>
    <row r="121" spans="1:39" s="161" customFormat="1" ht="14.25" x14ac:dyDescent="0.2">
      <c r="A121" s="1"/>
      <c r="B121" s="57" t="s">
        <v>19</v>
      </c>
      <c r="C121" s="128" t="str">
        <f>IF($D$18&gt;5,"Distance from Source to Receiver (ft)","")</f>
        <v/>
      </c>
      <c r="D121" s="116"/>
      <c r="E121" s="1"/>
      <c r="F121" s="1"/>
      <c r="G121" s="1"/>
      <c r="H121" s="32"/>
      <c r="I121" s="1"/>
      <c r="J121" s="1"/>
      <c r="K121" s="1"/>
      <c r="L121" s="1"/>
      <c r="M121" s="1"/>
      <c r="N121" s="1"/>
      <c r="O121" s="1"/>
      <c r="P121" s="1"/>
      <c r="Q121" s="1"/>
      <c r="R121" s="1"/>
      <c r="AC121" s="160">
        <f t="shared" si="14"/>
        <v>68</v>
      </c>
      <c r="AD121" s="173">
        <f t="shared" si="6"/>
        <v>62.888019840000005</v>
      </c>
      <c r="AE121" s="173">
        <f t="shared" si="7"/>
        <v>68.11854240000001</v>
      </c>
      <c r="AF121" s="173">
        <f t="shared" si="8"/>
        <v>1.1666692403990879</v>
      </c>
      <c r="AG121" s="173">
        <f t="shared" si="9"/>
        <v>3.0699756018082383</v>
      </c>
      <c r="AH121" s="160">
        <f t="shared" si="10"/>
        <v>69.166669240399088</v>
      </c>
      <c r="AI121" s="160">
        <f t="shared" si="11"/>
        <v>71.069975601808238</v>
      </c>
      <c r="AJ121" s="173">
        <f t="shared" si="12"/>
        <v>62.888019840000005</v>
      </c>
      <c r="AK121" s="173">
        <f t="shared" si="15"/>
        <v>68.11854240000001</v>
      </c>
      <c r="AL121" s="160">
        <f t="shared" si="13"/>
        <v>67.888019839999998</v>
      </c>
      <c r="AM121" s="174">
        <f t="shared" si="16"/>
        <v>73.11854240000001</v>
      </c>
    </row>
    <row r="122" spans="1:39" s="161" customFormat="1" ht="14.25" x14ac:dyDescent="0.2">
      <c r="A122" s="1"/>
      <c r="B122" s="56"/>
      <c r="C122" s="131" t="str">
        <f>IF($D$18&gt;5,"Number of Intervening Rows of Buildings","")</f>
        <v/>
      </c>
      <c r="D122" s="151"/>
      <c r="E122" s="1"/>
      <c r="F122" s="1"/>
      <c r="G122" s="1"/>
      <c r="H122" s="32"/>
      <c r="I122" s="1"/>
      <c r="J122" s="1"/>
      <c r="K122" s="1"/>
      <c r="L122" s="1"/>
      <c r="M122" s="1"/>
      <c r="N122" s="1"/>
      <c r="O122" s="1"/>
      <c r="P122" s="1"/>
      <c r="Q122" s="1"/>
      <c r="R122" s="1"/>
      <c r="AC122" s="160">
        <f t="shared" si="14"/>
        <v>69</v>
      </c>
      <c r="AD122" s="173">
        <f t="shared" si="6"/>
        <v>63.61455208000001</v>
      </c>
      <c r="AE122" s="173">
        <f t="shared" si="7"/>
        <v>68.795711299999994</v>
      </c>
      <c r="AF122" s="173">
        <f t="shared" si="8"/>
        <v>1.1037794354616182</v>
      </c>
      <c r="AG122" s="173">
        <f t="shared" si="9"/>
        <v>2.90935669333291</v>
      </c>
      <c r="AH122" s="160">
        <f t="shared" si="10"/>
        <v>70.103779435461618</v>
      </c>
      <c r="AI122" s="160">
        <f t="shared" si="11"/>
        <v>71.90935669333291</v>
      </c>
      <c r="AJ122" s="173">
        <f t="shared" si="12"/>
        <v>63.61455208000001</v>
      </c>
      <c r="AK122" s="173">
        <f t="shared" si="15"/>
        <v>68.795711299999994</v>
      </c>
      <c r="AL122" s="160">
        <f t="shared" si="13"/>
        <v>68.61455208000001</v>
      </c>
      <c r="AM122" s="174">
        <f t="shared" si="16"/>
        <v>73.795711299999994</v>
      </c>
    </row>
    <row r="123" spans="1:39" s="161" customFormat="1" ht="14.25" x14ac:dyDescent="0.2">
      <c r="A123" s="1"/>
      <c r="B123" s="20" t="s">
        <v>102</v>
      </c>
      <c r="C123" s="133" t="str">
        <f>IF(ISNUMBER(MATCH($D111,$AA$16:$AA$17,0)),"Noise Barrier?",IF(ISNUMBER(MATCH($D112,$AC$9:$AC$14,0)),"Noise Barrier?",""))</f>
        <v>Noise Barrier?</v>
      </c>
      <c r="D123" s="154"/>
      <c r="E123" s="1"/>
      <c r="F123" s="1"/>
      <c r="G123" s="1"/>
      <c r="H123" s="33"/>
      <c r="I123" s="1"/>
      <c r="J123" s="1"/>
      <c r="K123" s="1"/>
      <c r="L123" s="1"/>
      <c r="M123" s="1"/>
      <c r="N123" s="1"/>
      <c r="O123" s="1"/>
      <c r="P123" s="1"/>
      <c r="Q123" s="1"/>
      <c r="R123" s="1"/>
      <c r="AC123" s="160">
        <f t="shared" si="14"/>
        <v>70</v>
      </c>
      <c r="AD123" s="173">
        <f t="shared" si="6"/>
        <v>64.360160000000008</v>
      </c>
      <c r="AE123" s="173">
        <f t="shared" si="7"/>
        <v>69.490100000000012</v>
      </c>
      <c r="AF123" s="173">
        <f t="shared" si="8"/>
        <v>1.0479695877320836</v>
      </c>
      <c r="AG123" s="173">
        <f t="shared" si="9"/>
        <v>2.7628290066683832</v>
      </c>
      <c r="AH123" s="160">
        <f t="shared" si="10"/>
        <v>71.047969587732084</v>
      </c>
      <c r="AI123" s="160">
        <f t="shared" si="11"/>
        <v>72.762829006668383</v>
      </c>
      <c r="AJ123" s="173">
        <f t="shared" si="12"/>
        <v>64.360160000000008</v>
      </c>
      <c r="AK123" s="173">
        <f t="shared" si="15"/>
        <v>69.490100000000012</v>
      </c>
      <c r="AL123" s="160">
        <f t="shared" si="13"/>
        <v>69.360160000000008</v>
      </c>
      <c r="AM123" s="174">
        <f t="shared" si="16"/>
        <v>74.490100000000012</v>
      </c>
    </row>
    <row r="124" spans="1:39" s="161" customFormat="1" ht="14.25" x14ac:dyDescent="0.2">
      <c r="A124" s="1"/>
      <c r="B124" s="20"/>
      <c r="C124" s="119" t="str">
        <f>IF(ISNUMBER(MATCH(D112,$AC$27:$AC$29,0)),IF(D121&lt;=300,"Joint Track/Crossover?",""),"")</f>
        <v/>
      </c>
      <c r="D124" s="37"/>
      <c r="E124" s="1"/>
      <c r="F124" s="1"/>
      <c r="G124" s="1"/>
      <c r="H124" s="33"/>
      <c r="I124" s="1"/>
      <c r="J124" s="1"/>
      <c r="K124" s="1"/>
      <c r="L124" s="1"/>
      <c r="M124" s="1"/>
      <c r="N124" s="1"/>
      <c r="O124" s="1"/>
      <c r="P124" s="1"/>
      <c r="Q124" s="1"/>
      <c r="R124" s="1"/>
      <c r="AC124" s="160">
        <f t="shared" si="14"/>
        <v>71</v>
      </c>
      <c r="AD124" s="173">
        <f t="shared" si="6"/>
        <v>65.124598320000018</v>
      </c>
      <c r="AE124" s="173">
        <f t="shared" si="7"/>
        <v>70.201082700000015</v>
      </c>
      <c r="AF124" s="173">
        <f t="shared" si="8"/>
        <v>0.99853072932833697</v>
      </c>
      <c r="AG124" s="173">
        <f t="shared" si="9"/>
        <v>2.6291863160511042</v>
      </c>
      <c r="AH124" s="160">
        <f t="shared" si="10"/>
        <v>71.998530729328337</v>
      </c>
      <c r="AI124" s="160">
        <f t="shared" si="11"/>
        <v>73.629186316051104</v>
      </c>
      <c r="AJ124" s="173">
        <f t="shared" si="12"/>
        <v>65.124598320000018</v>
      </c>
      <c r="AK124" s="173">
        <f t="shared" si="15"/>
        <v>70.201082700000015</v>
      </c>
      <c r="AL124" s="160">
        <f t="shared" si="13"/>
        <v>70.124598320000018</v>
      </c>
      <c r="AM124" s="174">
        <f t="shared" si="16"/>
        <v>75.201082700000015</v>
      </c>
    </row>
    <row r="125" spans="1:39" s="161" customFormat="1" ht="14.25" x14ac:dyDescent="0.2">
      <c r="A125" s="1"/>
      <c r="B125" s="20"/>
      <c r="C125" s="119" t="str">
        <f>IF(ISNUMBER(MATCH(D112,$AC$27:$AC$29,0)),"Embedded Track?","")</f>
        <v/>
      </c>
      <c r="D125" s="37"/>
      <c r="E125" s="1"/>
      <c r="F125" s="1"/>
      <c r="G125" s="1"/>
      <c r="H125" s="33"/>
      <c r="I125" s="1"/>
      <c r="J125" s="1"/>
      <c r="K125" s="1"/>
      <c r="L125" s="1"/>
      <c r="M125" s="1"/>
      <c r="N125" s="1"/>
      <c r="O125" s="1"/>
      <c r="P125" s="1"/>
      <c r="Q125" s="1"/>
      <c r="R125" s="1"/>
      <c r="AC125" s="160">
        <f t="shared" si="14"/>
        <v>72</v>
      </c>
      <c r="AD125" s="173">
        <f t="shared" si="6"/>
        <v>65</v>
      </c>
      <c r="AE125" s="173">
        <f t="shared" si="7"/>
        <v>70.928033599999992</v>
      </c>
      <c r="AF125" s="173">
        <f t="shared" si="8"/>
        <v>0.79009749652567507</v>
      </c>
      <c r="AG125" s="173">
        <f t="shared" si="9"/>
        <v>2.5073072373973986</v>
      </c>
      <c r="AH125" s="160">
        <f t="shared" si="10"/>
        <v>72.790097496525675</v>
      </c>
      <c r="AI125" s="160">
        <f t="shared" si="11"/>
        <v>74.507307237397399</v>
      </c>
      <c r="AJ125" s="173">
        <v>65</v>
      </c>
      <c r="AK125" s="173">
        <f t="shared" si="15"/>
        <v>70.928033599999992</v>
      </c>
      <c r="AL125" s="160">
        <v>70</v>
      </c>
      <c r="AM125" s="174">
        <f t="shared" si="16"/>
        <v>75.928033599999992</v>
      </c>
    </row>
    <row r="126" spans="1:39" s="161" customFormat="1" ht="13.5" thickBot="1" x14ac:dyDescent="0.25">
      <c r="A126" s="1"/>
      <c r="B126" s="26"/>
      <c r="C126" s="139" t="str">
        <f>IF(ISNUMBER(MATCH(D112,$AC$27:$AC$29,0)),"Aerial Structure?","")</f>
        <v/>
      </c>
      <c r="D126" s="38"/>
      <c r="E126" s="1"/>
      <c r="F126" s="1"/>
      <c r="G126" s="1"/>
      <c r="H126" s="1"/>
      <c r="I126" s="1"/>
      <c r="J126" s="1"/>
      <c r="K126" s="1"/>
      <c r="L126" s="1"/>
      <c r="M126" s="1"/>
      <c r="N126" s="1"/>
      <c r="O126" s="1"/>
      <c r="P126" s="1"/>
      <c r="Q126" s="1"/>
      <c r="R126" s="1"/>
      <c r="AC126" s="160">
        <f t="shared" si="14"/>
        <v>73</v>
      </c>
      <c r="AD126" s="173">
        <f t="shared" si="6"/>
        <v>65</v>
      </c>
      <c r="AE126" s="173">
        <f t="shared" si="7"/>
        <v>71.670326899999992</v>
      </c>
      <c r="AF126" s="173">
        <f t="shared" si="8"/>
        <v>0.63892034143380272</v>
      </c>
      <c r="AG126" s="173">
        <f t="shared" si="9"/>
        <v>2.3961538915599334</v>
      </c>
      <c r="AH126" s="160">
        <f t="shared" si="10"/>
        <v>73.638920341433803</v>
      </c>
      <c r="AI126" s="160">
        <f t="shared" si="11"/>
        <v>75.396153891559933</v>
      </c>
      <c r="AJ126" s="173">
        <v>65</v>
      </c>
      <c r="AK126" s="173">
        <f t="shared" si="15"/>
        <v>71.670326899999992</v>
      </c>
      <c r="AL126" s="160">
        <v>70</v>
      </c>
      <c r="AM126" s="174">
        <f t="shared" si="16"/>
        <v>76.670326899999992</v>
      </c>
    </row>
    <row r="127" spans="1:39" s="161" customFormat="1" ht="13.5" thickTop="1" x14ac:dyDescent="0.2">
      <c r="A127" s="1"/>
      <c r="B127" s="1"/>
      <c r="C127" s="1"/>
      <c r="D127" s="1"/>
      <c r="E127" s="1"/>
      <c r="F127" s="1"/>
      <c r="G127" s="1"/>
      <c r="H127" s="1"/>
      <c r="I127" s="1"/>
      <c r="J127" s="1"/>
      <c r="K127" s="1"/>
      <c r="L127" s="1"/>
      <c r="M127" s="1"/>
      <c r="N127" s="1"/>
      <c r="O127" s="1"/>
      <c r="P127" s="1"/>
      <c r="Q127" s="1"/>
      <c r="R127" s="1"/>
      <c r="AC127" s="160">
        <f t="shared" si="14"/>
        <v>74</v>
      </c>
      <c r="AD127" s="173">
        <f t="shared" si="6"/>
        <v>65</v>
      </c>
      <c r="AE127" s="173">
        <f t="shared" si="7"/>
        <v>72.427336800000006</v>
      </c>
      <c r="AF127" s="173">
        <f t="shared" si="8"/>
        <v>0.51496942025231363</v>
      </c>
      <c r="AG127" s="173">
        <f t="shared" si="9"/>
        <v>2.2947691975293623</v>
      </c>
      <c r="AH127" s="160">
        <f t="shared" si="10"/>
        <v>74.514969420252314</v>
      </c>
      <c r="AI127" s="160">
        <f t="shared" si="11"/>
        <v>76.294769197529362</v>
      </c>
      <c r="AJ127" s="173">
        <v>65</v>
      </c>
      <c r="AK127" s="173">
        <f t="shared" si="15"/>
        <v>72.427336800000006</v>
      </c>
      <c r="AL127" s="160">
        <v>70</v>
      </c>
      <c r="AM127" s="174">
        <f t="shared" si="16"/>
        <v>77.427336800000006</v>
      </c>
    </row>
    <row r="128" spans="1:39" s="161" customFormat="1" x14ac:dyDescent="0.2">
      <c r="A128" s="1"/>
      <c r="B128" s="1"/>
      <c r="C128" s="1"/>
      <c r="D128" s="1"/>
      <c r="E128" s="1"/>
      <c r="F128" s="1"/>
      <c r="G128" s="1"/>
      <c r="H128" s="1"/>
      <c r="I128" s="1"/>
      <c r="J128" s="1"/>
      <c r="K128" s="1"/>
      <c r="L128" s="1"/>
      <c r="M128" s="1"/>
      <c r="N128" s="1"/>
      <c r="O128" s="1"/>
      <c r="P128" s="1"/>
      <c r="Q128" s="1"/>
      <c r="R128" s="1"/>
      <c r="AC128" s="160">
        <f t="shared" si="14"/>
        <v>75</v>
      </c>
      <c r="AD128" s="173">
        <f t="shared" si="6"/>
        <v>65</v>
      </c>
      <c r="AE128" s="173">
        <f t="shared" si="7"/>
        <v>73.198437499999983</v>
      </c>
      <c r="AF128" s="173">
        <f t="shared" si="8"/>
        <v>0.41392685158226072</v>
      </c>
      <c r="AG128" s="173">
        <f t="shared" si="9"/>
        <v>2.2022731616669233</v>
      </c>
      <c r="AH128" s="160">
        <f t="shared" si="10"/>
        <v>75.413926851582261</v>
      </c>
      <c r="AI128" s="160">
        <f t="shared" si="11"/>
        <v>77.202273161666923</v>
      </c>
      <c r="AJ128" s="173">
        <v>65</v>
      </c>
      <c r="AK128" s="173">
        <f t="shared" si="15"/>
        <v>73.198437499999983</v>
      </c>
      <c r="AL128" s="160">
        <v>70</v>
      </c>
      <c r="AM128" s="174">
        <f t="shared" si="16"/>
        <v>78.198437499999983</v>
      </c>
    </row>
    <row r="129" spans="1:39" s="161" customFormat="1" x14ac:dyDescent="0.2">
      <c r="A129" s="1"/>
      <c r="B129" s="1"/>
      <c r="C129" s="1"/>
      <c r="D129" s="1"/>
      <c r="E129" s="1"/>
      <c r="F129" s="1"/>
      <c r="G129" s="1"/>
      <c r="H129" s="1"/>
      <c r="I129" s="1"/>
      <c r="J129" s="1"/>
      <c r="K129" s="1"/>
      <c r="L129" s="1"/>
      <c r="M129" s="1"/>
      <c r="N129" s="1"/>
      <c r="O129" s="1"/>
      <c r="P129" s="1"/>
      <c r="Q129" s="1"/>
      <c r="R129" s="1"/>
      <c r="AC129" s="160">
        <f t="shared" si="14"/>
        <v>76</v>
      </c>
      <c r="AD129" s="173">
        <f t="shared" si="6"/>
        <v>65</v>
      </c>
      <c r="AE129" s="173">
        <f t="shared" si="7"/>
        <v>73.983003200000013</v>
      </c>
      <c r="AF129" s="173">
        <f t="shared" si="8"/>
        <v>0.33195619988428859</v>
      </c>
      <c r="AG129" s="173">
        <f t="shared" si="9"/>
        <v>2.1178584787487438</v>
      </c>
      <c r="AH129" s="160">
        <f t="shared" si="10"/>
        <v>76.331956199884289</v>
      </c>
      <c r="AI129" s="160">
        <f t="shared" si="11"/>
        <v>78.117858478748744</v>
      </c>
      <c r="AJ129" s="173">
        <v>65</v>
      </c>
      <c r="AK129" s="173">
        <f t="shared" si="15"/>
        <v>73.983003200000013</v>
      </c>
      <c r="AL129" s="160">
        <v>70</v>
      </c>
      <c r="AM129" s="174">
        <f t="shared" si="16"/>
        <v>78.983003200000013</v>
      </c>
    </row>
    <row r="130" spans="1:39" s="161" customFormat="1" x14ac:dyDescent="0.2">
      <c r="A130" s="1"/>
      <c r="B130" s="1"/>
      <c r="C130" s="1"/>
      <c r="D130" s="1"/>
      <c r="E130" s="1"/>
      <c r="F130" s="1"/>
      <c r="G130" s="1"/>
      <c r="H130" s="1"/>
      <c r="I130" s="1"/>
      <c r="J130" s="1"/>
      <c r="K130" s="1"/>
      <c r="L130" s="1"/>
      <c r="M130" s="1"/>
      <c r="N130" s="1"/>
      <c r="O130" s="1"/>
      <c r="P130" s="1"/>
      <c r="Q130" s="1"/>
      <c r="R130" s="1"/>
      <c r="AC130" s="160">
        <f t="shared" si="14"/>
        <v>77</v>
      </c>
      <c r="AD130" s="173">
        <f t="shared" si="6"/>
        <v>65</v>
      </c>
      <c r="AE130" s="173">
        <f t="shared" si="7"/>
        <v>74.780408100000017</v>
      </c>
      <c r="AF130" s="173">
        <f t="shared" si="8"/>
        <v>0.2657237559610337</v>
      </c>
      <c r="AG130" s="173">
        <f t="shared" si="9"/>
        <v>2.0407857080317768</v>
      </c>
      <c r="AH130" s="160">
        <f t="shared" si="10"/>
        <v>77.265723755961034</v>
      </c>
      <c r="AI130" s="160">
        <f t="shared" si="11"/>
        <v>79.040785708031777</v>
      </c>
      <c r="AJ130" s="173">
        <v>65</v>
      </c>
      <c r="AK130" s="173">
        <f t="shared" si="15"/>
        <v>74.780408100000017</v>
      </c>
      <c r="AL130" s="160">
        <v>70</v>
      </c>
      <c r="AM130" s="174">
        <f t="shared" si="16"/>
        <v>79.780408100000017</v>
      </c>
    </row>
    <row r="131" spans="1:39" s="161" customFormat="1" x14ac:dyDescent="0.2">
      <c r="A131" s="1"/>
      <c r="B131" s="1"/>
      <c r="C131" s="1"/>
      <c r="D131" s="1"/>
      <c r="E131" s="1"/>
      <c r="F131" s="1"/>
      <c r="G131" s="1"/>
      <c r="H131" s="1"/>
      <c r="I131" s="1"/>
      <c r="J131" s="1"/>
      <c r="K131" s="1"/>
      <c r="L131" s="1"/>
      <c r="M131" s="1"/>
      <c r="N131" s="1"/>
      <c r="O131" s="1"/>
      <c r="P131" s="1"/>
      <c r="Q131" s="1"/>
      <c r="R131" s="1"/>
      <c r="AC131" s="160">
        <f t="shared" si="14"/>
        <v>78</v>
      </c>
      <c r="AD131" s="173">
        <f t="shared" si="6"/>
        <v>65</v>
      </c>
      <c r="AE131" s="173">
        <f t="shared" si="7"/>
        <v>75</v>
      </c>
      <c r="AF131" s="173">
        <f t="shared" si="8"/>
        <v>0.21238401914254723</v>
      </c>
      <c r="AG131" s="173">
        <f t="shared" si="9"/>
        <v>1.7643486243648567</v>
      </c>
      <c r="AH131" s="160">
        <f t="shared" si="10"/>
        <v>78.212384019142547</v>
      </c>
      <c r="AI131" s="160">
        <f t="shared" si="11"/>
        <v>79.764348624364857</v>
      </c>
      <c r="AJ131" s="173">
        <v>65</v>
      </c>
      <c r="AK131" s="173">
        <v>75</v>
      </c>
      <c r="AL131" s="160">
        <v>70</v>
      </c>
      <c r="AM131" s="174">
        <v>80</v>
      </c>
    </row>
    <row r="132" spans="1:39" s="161" customFormat="1" x14ac:dyDescent="0.2">
      <c r="A132" s="1"/>
      <c r="B132" s="1"/>
      <c r="C132" s="1"/>
      <c r="D132" s="1"/>
      <c r="E132" s="1"/>
      <c r="F132" s="1"/>
      <c r="G132" s="1"/>
      <c r="H132" s="1"/>
      <c r="I132" s="1"/>
      <c r="J132" s="1"/>
      <c r="K132" s="1"/>
      <c r="L132" s="1"/>
      <c r="M132" s="1"/>
      <c r="N132" s="1"/>
      <c r="O132" s="1"/>
      <c r="P132" s="1"/>
      <c r="Q132" s="1"/>
      <c r="R132" s="1"/>
      <c r="AC132" s="160">
        <f t="shared" si="14"/>
        <v>79</v>
      </c>
      <c r="AD132" s="173">
        <f t="shared" si="6"/>
        <v>65</v>
      </c>
      <c r="AE132" s="173">
        <f t="shared" si="7"/>
        <v>75</v>
      </c>
      <c r="AF132" s="173">
        <f t="shared" si="8"/>
        <v>0.16954289279533441</v>
      </c>
      <c r="AG132" s="173">
        <f t="shared" si="9"/>
        <v>1.4554046310929607</v>
      </c>
      <c r="AH132" s="160">
        <f t="shared" si="10"/>
        <v>79.169542892795334</v>
      </c>
      <c r="AI132" s="160">
        <f t="shared" si="11"/>
        <v>80.455404631092961</v>
      </c>
      <c r="AJ132" s="173">
        <v>65</v>
      </c>
      <c r="AK132" s="173">
        <v>75</v>
      </c>
      <c r="AL132" s="160">
        <v>70</v>
      </c>
      <c r="AM132" s="174">
        <v>80</v>
      </c>
    </row>
    <row r="133" spans="1:39" s="161" customFormat="1" x14ac:dyDescent="0.2">
      <c r="A133" s="1"/>
      <c r="B133" s="1"/>
      <c r="C133" s="1"/>
      <c r="D133" s="1"/>
      <c r="E133" s="1"/>
      <c r="F133" s="1"/>
      <c r="G133" s="1"/>
      <c r="H133" s="1"/>
      <c r="I133" s="1"/>
      <c r="J133" s="1"/>
      <c r="K133" s="1"/>
      <c r="L133" s="1"/>
      <c r="M133" s="1"/>
      <c r="N133" s="1"/>
      <c r="O133" s="1"/>
      <c r="P133" s="1"/>
      <c r="Q133" s="1"/>
      <c r="R133" s="1"/>
      <c r="AC133" s="160">
        <f t="shared" si="14"/>
        <v>80</v>
      </c>
      <c r="AD133" s="173">
        <f t="shared" si="6"/>
        <v>65</v>
      </c>
      <c r="AE133" s="173">
        <f t="shared" si="7"/>
        <v>75</v>
      </c>
      <c r="AF133" s="173">
        <f t="shared" si="8"/>
        <v>0.13520922108037325</v>
      </c>
      <c r="AG133" s="173">
        <f t="shared" si="9"/>
        <v>1.1933104806609407</v>
      </c>
      <c r="AH133" s="160">
        <f t="shared" si="10"/>
        <v>80.135209221080373</v>
      </c>
      <c r="AI133" s="160">
        <f t="shared" si="11"/>
        <v>81.193310480660941</v>
      </c>
      <c r="AJ133" s="173">
        <v>65</v>
      </c>
      <c r="AK133" s="173">
        <v>75</v>
      </c>
      <c r="AL133" s="160">
        <v>70</v>
      </c>
      <c r="AM133" s="174">
        <v>80</v>
      </c>
    </row>
    <row r="134" spans="1:39" s="161" customFormat="1" x14ac:dyDescent="0.2">
      <c r="A134" s="1"/>
      <c r="B134" s="1"/>
      <c r="C134" s="1"/>
      <c r="D134" s="1"/>
      <c r="E134" s="1"/>
      <c r="F134" s="1"/>
      <c r="G134" s="1"/>
      <c r="H134" s="1"/>
      <c r="I134" s="1"/>
      <c r="J134" s="1"/>
      <c r="K134" s="1"/>
      <c r="L134" s="1"/>
      <c r="M134" s="1"/>
      <c r="N134" s="1"/>
      <c r="O134" s="1"/>
      <c r="P134" s="1"/>
      <c r="Q134" s="1"/>
      <c r="R134" s="1"/>
      <c r="AC134" s="160">
        <f>IF(D13&gt;80,D13,81)</f>
        <v>81</v>
      </c>
      <c r="AD134" s="173">
        <f t="shared" si="6"/>
        <v>65</v>
      </c>
      <c r="AE134" s="173">
        <f t="shared" si="7"/>
        <v>75</v>
      </c>
      <c r="AF134" s="173">
        <f t="shared" si="8"/>
        <v>0.10774225511957525</v>
      </c>
      <c r="AG134" s="173">
        <f t="shared" si="9"/>
        <v>0.97322793708696054</v>
      </c>
      <c r="AH134" s="160">
        <f t="shared" si="10"/>
        <v>81.107742255119575</v>
      </c>
      <c r="AI134" s="160">
        <f t="shared" si="11"/>
        <v>81.973227937086961</v>
      </c>
      <c r="AJ134" s="173">
        <v>65</v>
      </c>
      <c r="AK134" s="173">
        <v>75</v>
      </c>
      <c r="AL134" s="160">
        <v>70</v>
      </c>
      <c r="AM134" s="174">
        <v>80</v>
      </c>
    </row>
    <row r="135" spans="1:39" s="161" customFormat="1" x14ac:dyDescent="0.2">
      <c r="A135" s="1"/>
      <c r="B135" s="1"/>
      <c r="C135" s="1"/>
      <c r="D135" s="1"/>
      <c r="E135" s="1"/>
      <c r="F135" s="1"/>
      <c r="G135" s="1"/>
      <c r="H135" s="1"/>
      <c r="I135" s="1"/>
      <c r="J135" s="1"/>
      <c r="K135" s="1"/>
      <c r="L135" s="1"/>
      <c r="M135" s="1"/>
      <c r="N135" s="1"/>
      <c r="O135" s="1"/>
      <c r="P135" s="1"/>
      <c r="Q135" s="1"/>
      <c r="R135" s="1"/>
    </row>
    <row r="136" spans="1:39" s="161" customFormat="1" x14ac:dyDescent="0.2">
      <c r="A136" s="1"/>
      <c r="B136" s="1"/>
      <c r="C136" s="1"/>
      <c r="D136" s="1"/>
      <c r="E136" s="1"/>
      <c r="F136" s="1"/>
      <c r="G136" s="1"/>
      <c r="H136" s="1"/>
      <c r="I136" s="1"/>
      <c r="J136" s="1"/>
      <c r="K136" s="1"/>
      <c r="L136" s="1"/>
      <c r="M136" s="1"/>
      <c r="N136" s="1"/>
      <c r="O136" s="1"/>
      <c r="P136" s="1"/>
      <c r="Q136" s="1"/>
      <c r="R136" s="1"/>
    </row>
    <row r="137" spans="1:39" s="161" customFormat="1" x14ac:dyDescent="0.2">
      <c r="A137" s="1"/>
      <c r="B137" s="1"/>
      <c r="C137" s="1"/>
      <c r="D137" s="1"/>
      <c r="E137" s="1"/>
      <c r="F137" s="1"/>
      <c r="G137" s="1"/>
      <c r="H137" s="1"/>
      <c r="I137" s="1"/>
      <c r="J137" s="1"/>
      <c r="K137" s="1"/>
      <c r="L137" s="1"/>
      <c r="M137" s="1"/>
      <c r="N137" s="1"/>
      <c r="O137" s="1"/>
      <c r="P137" s="1"/>
      <c r="Q137" s="1"/>
      <c r="R137" s="1"/>
    </row>
    <row r="138" spans="1:39" s="161" customFormat="1" x14ac:dyDescent="0.2">
      <c r="A138" s="1"/>
      <c r="B138" s="1"/>
      <c r="C138" s="1"/>
      <c r="D138" s="1"/>
      <c r="E138" s="1"/>
      <c r="F138" s="1"/>
      <c r="G138" s="1"/>
      <c r="H138" s="1"/>
      <c r="I138" s="1"/>
      <c r="J138" s="1"/>
      <c r="K138" s="1"/>
      <c r="L138" s="1"/>
      <c r="M138" s="1"/>
      <c r="N138" s="1"/>
      <c r="O138" s="1"/>
      <c r="P138" s="1"/>
      <c r="Q138" s="1"/>
      <c r="R138" s="1"/>
      <c r="AC138" s="178" t="s">
        <v>144</v>
      </c>
      <c r="AD138" s="173">
        <f>VLOOKUP(D22,AK33:AL58,2)+IF(D21=$AA$17,-20*LOG(D31/50)-10*0.5*LOG(D31/50),-10*LOG(D31/50)-10*0.5*LOG(D31/50))</f>
        <v>61.840680443502755</v>
      </c>
      <c r="AE138" s="173"/>
      <c r="AF138" s="178" t="s">
        <v>144</v>
      </c>
      <c r="AG138" s="173">
        <f>VLOOKUP(D40,AN33:AO58,2)+IF(D39=$AA$17,-20*LOG(D49/50)-10*0.5*LOG(D49/50),-10*LOG(D49/50)-10*0.5*LOG(D49/50))</f>
        <v>53.704592600457694</v>
      </c>
      <c r="AH138" s="170"/>
      <c r="AI138" s="178" t="s">
        <v>144</v>
      </c>
      <c r="AJ138" s="173">
        <f>VLOOKUP(D58,AQ33:AR58,2)+IF(D57=$AA$17,-20*LOG(D67/50)-10*0.5*LOG(D67/50),-10*LOG(D67/50)-10*0.5*LOG(D67/50))</f>
        <v>54.074529528899539</v>
      </c>
    </row>
    <row r="139" spans="1:39" s="161" customFormat="1" x14ac:dyDescent="0.2">
      <c r="A139" s="1"/>
      <c r="B139" s="1"/>
      <c r="C139" s="1"/>
      <c r="D139" s="1"/>
      <c r="E139" s="1"/>
      <c r="F139" s="1"/>
      <c r="G139" s="1"/>
      <c r="H139" s="1"/>
      <c r="I139" s="1"/>
      <c r="J139" s="1"/>
      <c r="K139" s="1"/>
      <c r="L139" s="1"/>
      <c r="M139" s="1"/>
      <c r="N139" s="1"/>
      <c r="O139" s="1"/>
      <c r="P139" s="1"/>
      <c r="Q139" s="1"/>
      <c r="R139" s="1"/>
      <c r="AC139" s="178" t="s">
        <v>145</v>
      </c>
      <c r="AD139" s="173">
        <f>VLOOKUP(D22,AK62:AL87,2)+IF(D21=$AA$17,-20*LOG(D31/50)-10*0.5*LOG(D31/50),-10*LOG(D31/50)-10*0.5*LOG(D31/50))</f>
        <v>55.82008053022313</v>
      </c>
      <c r="AE139" s="173"/>
      <c r="AF139" s="178" t="s">
        <v>145</v>
      </c>
      <c r="AG139" s="173">
        <f>VLOOKUP(D40,AN62:AO87,2)+IF(D39=$AA$17,-20*LOG(D49/50)-10*0.5*LOG(D49/50),-10*LOG(D49/50)-10*0.5*LOG(D49/50))</f>
        <v>47.683992687178069</v>
      </c>
      <c r="AH139" s="170"/>
      <c r="AI139" s="178" t="s">
        <v>145</v>
      </c>
      <c r="AJ139" s="173">
        <f>VLOOKUP(D58,AQ62:AR87,2)+IF(D57=$AA$17,-20*LOG(D67/50)-10*0.5*LOG(D67/50),-10*LOG(D67/50)-10*0.5*LOG(D67/50))</f>
        <v>47.813926851582245</v>
      </c>
    </row>
    <row r="140" spans="1:39" s="161" customFormat="1" x14ac:dyDescent="0.2">
      <c r="A140" s="1"/>
      <c r="B140" s="1"/>
      <c r="C140" s="1"/>
      <c r="D140" s="1"/>
      <c r="E140" s="1"/>
      <c r="F140" s="1"/>
      <c r="G140" s="1"/>
      <c r="H140" s="1"/>
      <c r="I140" s="1"/>
      <c r="J140" s="1"/>
      <c r="K140" s="1"/>
      <c r="L140" s="1"/>
      <c r="M140" s="1"/>
      <c r="N140" s="1"/>
      <c r="O140" s="1"/>
      <c r="P140" s="1"/>
      <c r="Q140" s="1"/>
      <c r="R140" s="1"/>
      <c r="AC140" s="178" t="s">
        <v>143</v>
      </c>
      <c r="AD140" s="173">
        <f>10*LOG(15*10^(AD138/10)+9*10^((AD139+10)/10))-13.8</f>
        <v>63.780993120779939</v>
      </c>
      <c r="AE140" s="173"/>
      <c r="AF140" s="178" t="s">
        <v>143</v>
      </c>
      <c r="AG140" s="173">
        <f>10*LOG(15*10^(AG138/10)+9*10^((AG139+10)/10))-13.8</f>
        <v>55.644905277734892</v>
      </c>
      <c r="AH140" s="170"/>
      <c r="AI140" s="178" t="s">
        <v>143</v>
      </c>
      <c r="AJ140" s="173">
        <f>10*LOG(15*10^(AJ138/10)+9*10^((AJ139+10)/10))-13.8</f>
        <v>55.872437815030636</v>
      </c>
    </row>
    <row r="141" spans="1:39" s="161" customFormat="1" x14ac:dyDescent="0.2">
      <c r="A141" s="1"/>
      <c r="B141" s="1"/>
      <c r="C141" s="1"/>
      <c r="D141" s="1"/>
      <c r="E141" s="1"/>
      <c r="F141" s="1"/>
      <c r="G141" s="1"/>
      <c r="H141" s="1"/>
      <c r="I141" s="1"/>
      <c r="J141" s="1"/>
      <c r="K141" s="1"/>
      <c r="L141" s="1"/>
      <c r="M141" s="1"/>
      <c r="N141" s="1"/>
      <c r="O141" s="1"/>
      <c r="P141" s="1"/>
      <c r="Q141" s="1"/>
      <c r="R141" s="1"/>
    </row>
    <row r="142" spans="1:39" s="161" customFormat="1" x14ac:dyDescent="0.2">
      <c r="A142" s="1"/>
      <c r="B142" s="1"/>
      <c r="C142" s="1"/>
      <c r="D142" s="1"/>
      <c r="E142" s="1"/>
      <c r="F142" s="1"/>
      <c r="G142" s="1"/>
      <c r="H142" s="1"/>
      <c r="I142" s="1"/>
      <c r="J142" s="1"/>
      <c r="K142" s="1"/>
      <c r="L142" s="1"/>
      <c r="M142" s="1"/>
      <c r="N142" s="1"/>
      <c r="O142" s="1"/>
      <c r="P142" s="1"/>
      <c r="Q142" s="1"/>
      <c r="R142" s="1"/>
    </row>
    <row r="143" spans="1:39" s="161" customFormat="1" x14ac:dyDescent="0.2">
      <c r="A143" s="1"/>
      <c r="B143" s="1"/>
      <c r="C143" s="1"/>
      <c r="D143" s="1"/>
      <c r="E143" s="1"/>
      <c r="F143" s="1"/>
      <c r="G143" s="1"/>
      <c r="H143" s="1"/>
      <c r="I143" s="1"/>
      <c r="J143" s="1"/>
      <c r="K143" s="1"/>
      <c r="L143" s="1"/>
      <c r="M143" s="1"/>
      <c r="N143" s="1"/>
      <c r="O143" s="1"/>
      <c r="P143" s="1"/>
      <c r="Q143" s="1"/>
      <c r="R143" s="1"/>
    </row>
    <row r="144" spans="1:39" s="161" customFormat="1" x14ac:dyDescent="0.2">
      <c r="A144" s="1"/>
      <c r="B144" s="1"/>
      <c r="C144" s="1"/>
      <c r="D144" s="1"/>
      <c r="E144" s="1"/>
      <c r="F144" s="1"/>
      <c r="G144" s="1"/>
      <c r="H144" s="1"/>
      <c r="I144" s="1"/>
      <c r="J144" s="1"/>
      <c r="K144" s="1"/>
      <c r="L144" s="1"/>
      <c r="M144" s="1"/>
      <c r="N144" s="1"/>
      <c r="O144" s="1"/>
      <c r="P144" s="1"/>
      <c r="Q144" s="1"/>
      <c r="R144" s="1"/>
    </row>
    <row r="145" spans="1:56" s="161" customFormat="1" x14ac:dyDescent="0.2">
      <c r="A145" s="1"/>
      <c r="B145" s="1"/>
      <c r="C145" s="1"/>
      <c r="D145" s="1"/>
      <c r="E145" s="1"/>
      <c r="F145" s="1"/>
      <c r="G145" s="1"/>
      <c r="H145" s="1"/>
      <c r="I145" s="1"/>
      <c r="J145" s="1"/>
      <c r="K145" s="1"/>
      <c r="L145" s="1"/>
      <c r="M145" s="1"/>
      <c r="N145" s="1"/>
      <c r="O145" s="1"/>
      <c r="P145" s="1"/>
      <c r="Q145" s="1"/>
      <c r="R145" s="1"/>
    </row>
    <row r="146" spans="1:56" s="161" customFormat="1" x14ac:dyDescent="0.2">
      <c r="A146" s="1"/>
      <c r="B146" s="1"/>
      <c r="C146" s="1"/>
      <c r="D146" s="1"/>
      <c r="E146" s="1"/>
      <c r="F146" s="1"/>
      <c r="G146" s="1"/>
      <c r="H146" s="1"/>
      <c r="I146" s="1"/>
      <c r="J146" s="1"/>
      <c r="K146" s="1"/>
      <c r="L146" s="1"/>
      <c r="M146" s="1"/>
      <c r="N146" s="1"/>
      <c r="O146" s="1"/>
      <c r="P146" s="1"/>
      <c r="Q146" s="1"/>
      <c r="R146" s="1"/>
    </row>
    <row r="147" spans="1:56" s="161" customFormat="1" x14ac:dyDescent="0.2">
      <c r="A147" s="1"/>
      <c r="B147" s="1"/>
      <c r="C147" s="1"/>
      <c r="D147" s="1"/>
      <c r="E147" s="1"/>
      <c r="F147" s="1"/>
      <c r="G147" s="1"/>
      <c r="H147" s="1"/>
      <c r="I147" s="1"/>
      <c r="J147" s="1"/>
      <c r="K147" s="1"/>
      <c r="L147" s="1"/>
      <c r="M147" s="1"/>
      <c r="N147" s="1"/>
      <c r="O147" s="1"/>
      <c r="P147" s="1"/>
      <c r="Q147" s="1"/>
      <c r="R147" s="1"/>
      <c r="AC147" s="160" t="s">
        <v>60</v>
      </c>
      <c r="AD147" s="160">
        <v>1</v>
      </c>
    </row>
    <row r="148" spans="1:56" x14ac:dyDescent="0.2">
      <c r="AB148" s="62"/>
      <c r="AC148" s="62"/>
      <c r="AD148" s="63">
        <v>2</v>
      </c>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row>
    <row r="149" spans="1:56" x14ac:dyDescent="0.2">
      <c r="AB149" s="62"/>
      <c r="AC149" s="62"/>
      <c r="AD149" s="63">
        <v>3</v>
      </c>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row>
    <row r="150" spans="1:56" x14ac:dyDescent="0.2">
      <c r="AB150" s="62"/>
      <c r="AC150" s="62"/>
      <c r="AD150" s="58">
        <v>4</v>
      </c>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row>
    <row r="151" spans="1:56" x14ac:dyDescent="0.2">
      <c r="AB151" s="62"/>
      <c r="AC151" s="62"/>
      <c r="AD151" s="58">
        <v>5</v>
      </c>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row>
    <row r="152" spans="1:56" x14ac:dyDescent="0.2">
      <c r="AB152" s="62"/>
      <c r="AC152" s="62"/>
      <c r="AD152" s="58">
        <v>6</v>
      </c>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row>
    <row r="153" spans="1:56" x14ac:dyDescent="0.2">
      <c r="AB153" s="62"/>
      <c r="AC153" s="62"/>
      <c r="AD153" s="58"/>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row>
    <row r="154" spans="1:56" x14ac:dyDescent="0.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row>
    <row r="155" spans="1:56" x14ac:dyDescent="0.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row>
    <row r="156" spans="1:56" x14ac:dyDescent="0.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row>
    <row r="157" spans="1:56" x14ac:dyDescent="0.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row>
    <row r="158" spans="1:56" x14ac:dyDescent="0.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row>
    <row r="159" spans="1:56" x14ac:dyDescent="0.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row>
    <row r="160" spans="1:56" x14ac:dyDescent="0.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row>
    <row r="161" spans="28:56" x14ac:dyDescent="0.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row>
    <row r="162" spans="28:56" x14ac:dyDescent="0.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row>
    <row r="163" spans="28:56" x14ac:dyDescent="0.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row>
    <row r="164" spans="28:56" x14ac:dyDescent="0.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row>
    <row r="165" spans="28:56" x14ac:dyDescent="0.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row>
    <row r="166" spans="28:56" x14ac:dyDescent="0.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row>
    <row r="167" spans="28:56" x14ac:dyDescent="0.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row>
    <row r="168" spans="28:56" x14ac:dyDescent="0.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row>
    <row r="169" spans="28:56" x14ac:dyDescent="0.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row>
    <row r="170" spans="28:56" x14ac:dyDescent="0.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row>
    <row r="171" spans="28:56" x14ac:dyDescent="0.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row>
    <row r="172" spans="28:56" x14ac:dyDescent="0.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row>
    <row r="173" spans="28:56" x14ac:dyDescent="0.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row>
    <row r="174" spans="28:56" x14ac:dyDescent="0.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row>
    <row r="175" spans="28:56" x14ac:dyDescent="0.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row>
    <row r="176" spans="28:56" x14ac:dyDescent="0.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row>
    <row r="177" spans="28:56" x14ac:dyDescent="0.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row>
    <row r="178" spans="28:56" x14ac:dyDescent="0.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row>
    <row r="179" spans="28:56" x14ac:dyDescent="0.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row>
    <row r="180" spans="28:56" x14ac:dyDescent="0.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row>
    <row r="181" spans="28:56" x14ac:dyDescent="0.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row>
    <row r="182" spans="28:56" x14ac:dyDescent="0.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row>
    <row r="183" spans="28:56" x14ac:dyDescent="0.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row>
    <row r="184" spans="28:56" x14ac:dyDescent="0.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row>
    <row r="185" spans="28:56" x14ac:dyDescent="0.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row>
    <row r="186" spans="28:56" x14ac:dyDescent="0.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row>
    <row r="187" spans="28:56" x14ac:dyDescent="0.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row>
    <row r="188" spans="28:56" x14ac:dyDescent="0.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row>
    <row r="189" spans="28:56" x14ac:dyDescent="0.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row>
    <row r="190" spans="28:56" x14ac:dyDescent="0.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row>
    <row r="191" spans="28:56" x14ac:dyDescent="0.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row>
    <row r="192" spans="28:56" x14ac:dyDescent="0.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row>
    <row r="193" spans="28:56" x14ac:dyDescent="0.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row>
    <row r="194" spans="28:56" x14ac:dyDescent="0.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row>
    <row r="195" spans="28:56" x14ac:dyDescent="0.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row>
    <row r="196" spans="28:56" x14ac:dyDescent="0.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row>
    <row r="197" spans="28:56" x14ac:dyDescent="0.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row>
    <row r="198" spans="28:56" x14ac:dyDescent="0.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row>
    <row r="199" spans="28:56" x14ac:dyDescent="0.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row>
    <row r="200" spans="28:56" x14ac:dyDescent="0.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row>
  </sheetData>
  <sheetProtection algorithmName="SHA-512" hashValue="6YFnKbD+k7rbUGS8br3h22WGJzQ++8msDzZoE6bgKJ+XGrLbVdY3SRmzrubLg86BHxzo9AvHpZI/l3s9OhxFmA==" saltValue="97DZbMNBgMGEPrvBciJkyQ==" spinCount="100000" sheet="1" objects="1" scenarios="1" selectLockedCells="1"/>
  <phoneticPr fontId="3"/>
  <conditionalFormatting sqref="D39:D40 D51:D54 D57:D58 D69:D72 D75:D76 D87:D90 D93:D94 D105:D108 D111:D112 D123:D126">
    <cfRule type="expression" dxfId="76" priority="86" stopIfTrue="1">
      <formula>$C39=""</formula>
    </cfRule>
  </conditionalFormatting>
  <conditionalFormatting sqref="H12">
    <cfRule type="cellIs" dxfId="75" priority="88" stopIfTrue="1" operator="equal">
      <formula>"None"</formula>
    </cfRule>
    <cfRule type="cellIs" dxfId="74" priority="89" stopIfTrue="1" operator="equal">
      <formula>"Severe"</formula>
    </cfRule>
    <cfRule type="cellIs" dxfId="73" priority="90" stopIfTrue="1" operator="equal">
      <formula>"Moderate"</formula>
    </cfRule>
  </conditionalFormatting>
  <conditionalFormatting sqref="D23">
    <cfRule type="expression" dxfId="72" priority="91" stopIfTrue="1">
      <formula>$C$23=""</formula>
    </cfRule>
  </conditionalFormatting>
  <conditionalFormatting sqref="D24">
    <cfRule type="expression" dxfId="71" priority="92" stopIfTrue="1">
      <formula>$C$24=""</formula>
    </cfRule>
  </conditionalFormatting>
  <conditionalFormatting sqref="D25">
    <cfRule type="expression" dxfId="70" priority="93" stopIfTrue="1">
      <formula>$C$25=""</formula>
    </cfRule>
  </conditionalFormatting>
  <conditionalFormatting sqref="D27">
    <cfRule type="expression" dxfId="69" priority="94" stopIfTrue="1">
      <formula>$C$27=""</formula>
    </cfRule>
  </conditionalFormatting>
  <conditionalFormatting sqref="D28">
    <cfRule type="expression" dxfId="68" priority="95" stopIfTrue="1">
      <formula>$C$28=""</formula>
    </cfRule>
  </conditionalFormatting>
  <conditionalFormatting sqref="D29">
    <cfRule type="expression" dxfId="67" priority="96" stopIfTrue="1">
      <formula>$C$29=""</formula>
    </cfRule>
  </conditionalFormatting>
  <conditionalFormatting sqref="D34">
    <cfRule type="expression" dxfId="66" priority="97" stopIfTrue="1">
      <formula>$C$34=""</formula>
    </cfRule>
  </conditionalFormatting>
  <conditionalFormatting sqref="D35">
    <cfRule type="expression" dxfId="65" priority="98" stopIfTrue="1">
      <formula>$C$35=""</formula>
    </cfRule>
  </conditionalFormatting>
  <conditionalFormatting sqref="D36">
    <cfRule type="expression" dxfId="64" priority="99" stopIfTrue="1">
      <formula>$C$36=""</formula>
    </cfRule>
  </conditionalFormatting>
  <conditionalFormatting sqref="G112:H112 G115:H116 G113:G114">
    <cfRule type="expression" dxfId="63" priority="100" stopIfTrue="1">
      <formula>$D$18&lt;6</formula>
    </cfRule>
  </conditionalFormatting>
  <conditionalFormatting sqref="G40:H40 G43:H44 G41:G42">
    <cfRule type="expression" dxfId="62" priority="101" stopIfTrue="1">
      <formula>$D$18&lt;2</formula>
    </cfRule>
  </conditionalFormatting>
  <conditionalFormatting sqref="G58:H58 G61:H62 G59:G60">
    <cfRule type="expression" dxfId="61" priority="102" stopIfTrue="1">
      <formula>$D$18&lt;3</formula>
    </cfRule>
  </conditionalFormatting>
  <conditionalFormatting sqref="G76:H76 G79:H80 G77:G78">
    <cfRule type="expression" dxfId="60" priority="103" stopIfTrue="1">
      <formula>$D$18&lt;4</formula>
    </cfRule>
  </conditionalFormatting>
  <conditionalFormatting sqref="G94:H94 G97:H98 G95:G96">
    <cfRule type="expression" dxfId="59" priority="104" stopIfTrue="1">
      <formula>$D$18&lt;5</formula>
    </cfRule>
  </conditionalFormatting>
  <conditionalFormatting sqref="D33">
    <cfRule type="expression" dxfId="58" priority="105" stopIfTrue="1">
      <formula>$C$33=""</formula>
    </cfRule>
  </conditionalFormatting>
  <conditionalFormatting sqref="B51 B49">
    <cfRule type="expression" dxfId="57" priority="106" stopIfTrue="1">
      <formula>$D$18&lt;2</formula>
    </cfRule>
  </conditionalFormatting>
  <conditionalFormatting sqref="B69 B67">
    <cfRule type="expression" dxfId="56" priority="107" stopIfTrue="1">
      <formula>$D$18&lt;3</formula>
    </cfRule>
  </conditionalFormatting>
  <conditionalFormatting sqref="B87 B85">
    <cfRule type="expression" dxfId="55" priority="108" stopIfTrue="1">
      <formula>$D$18&lt;4</formula>
    </cfRule>
  </conditionalFormatting>
  <conditionalFormatting sqref="B105 B103">
    <cfRule type="expression" dxfId="54" priority="109" stopIfTrue="1">
      <formula>$D$18&lt;5</formula>
    </cfRule>
  </conditionalFormatting>
  <conditionalFormatting sqref="B123 B121">
    <cfRule type="expression" dxfId="53" priority="110" stopIfTrue="1">
      <formula>$D$18&lt;6</formula>
    </cfRule>
  </conditionalFormatting>
  <conditionalFormatting sqref="D41">
    <cfRule type="expression" dxfId="52" priority="50" stopIfTrue="1">
      <formula>$C41=""</formula>
    </cfRule>
  </conditionalFormatting>
  <conditionalFormatting sqref="H113:H114">
    <cfRule type="expression" dxfId="51" priority="55" stopIfTrue="1">
      <formula>$D$18&lt;6</formula>
    </cfRule>
  </conditionalFormatting>
  <conditionalFormatting sqref="H95:H96">
    <cfRule type="expression" dxfId="50" priority="54" stopIfTrue="1">
      <formula>$D$18&lt;5</formula>
    </cfRule>
  </conditionalFormatting>
  <conditionalFormatting sqref="H77:H78">
    <cfRule type="expression" dxfId="49" priority="53" stopIfTrue="1">
      <formula>$D$18&lt;4</formula>
    </cfRule>
  </conditionalFormatting>
  <conditionalFormatting sqref="H59:H60">
    <cfRule type="expression" dxfId="48" priority="52" stopIfTrue="1">
      <formula>$D$18&lt;3</formula>
    </cfRule>
  </conditionalFormatting>
  <conditionalFormatting sqref="H41:H42">
    <cfRule type="expression" dxfId="47" priority="51" stopIfTrue="1">
      <formula>$D$18&lt;2</formula>
    </cfRule>
  </conditionalFormatting>
  <conditionalFormatting sqref="D42:D44">
    <cfRule type="expression" dxfId="46" priority="48" stopIfTrue="1">
      <formula>$C42=""</formula>
    </cfRule>
  </conditionalFormatting>
  <conditionalFormatting sqref="D45">
    <cfRule type="expression" dxfId="45" priority="47" stopIfTrue="1">
      <formula>$C45=""</formula>
    </cfRule>
  </conditionalFormatting>
  <conditionalFormatting sqref="D46">
    <cfRule type="expression" dxfId="44" priority="46" stopIfTrue="1">
      <formula>$C46=""</formula>
    </cfRule>
  </conditionalFormatting>
  <conditionalFormatting sqref="D47">
    <cfRule type="expression" dxfId="43" priority="45" stopIfTrue="1">
      <formula>$C47=""</formula>
    </cfRule>
  </conditionalFormatting>
  <conditionalFormatting sqref="D48">
    <cfRule type="expression" dxfId="42" priority="44" stopIfTrue="1">
      <formula>$C48=""</formula>
    </cfRule>
  </conditionalFormatting>
  <conditionalFormatting sqref="D49">
    <cfRule type="expression" dxfId="41" priority="43" stopIfTrue="1">
      <formula>$C49=""</formula>
    </cfRule>
  </conditionalFormatting>
  <conditionalFormatting sqref="D50">
    <cfRule type="expression" dxfId="40" priority="42" stopIfTrue="1">
      <formula>$C50=""</formula>
    </cfRule>
  </conditionalFormatting>
  <conditionalFormatting sqref="D59">
    <cfRule type="expression" dxfId="39" priority="41" stopIfTrue="1">
      <formula>$C59=""</formula>
    </cfRule>
  </conditionalFormatting>
  <conditionalFormatting sqref="D61">
    <cfRule type="expression" dxfId="38" priority="39" stopIfTrue="1">
      <formula>$C61=""</formula>
    </cfRule>
  </conditionalFormatting>
  <conditionalFormatting sqref="D62">
    <cfRule type="expression" dxfId="37" priority="38" stopIfTrue="1">
      <formula>$C62=""</formula>
    </cfRule>
  </conditionalFormatting>
  <conditionalFormatting sqref="D63">
    <cfRule type="expression" dxfId="36" priority="37" stopIfTrue="1">
      <formula>$C63=""</formula>
    </cfRule>
  </conditionalFormatting>
  <conditionalFormatting sqref="D64">
    <cfRule type="expression" dxfId="35" priority="36" stopIfTrue="1">
      <formula>$C64=""</formula>
    </cfRule>
  </conditionalFormatting>
  <conditionalFormatting sqref="D65">
    <cfRule type="expression" dxfId="34" priority="35" stopIfTrue="1">
      <formula>$C65=""</formula>
    </cfRule>
  </conditionalFormatting>
  <conditionalFormatting sqref="D66">
    <cfRule type="expression" dxfId="33" priority="34" stopIfTrue="1">
      <formula>$C66=""</formula>
    </cfRule>
  </conditionalFormatting>
  <conditionalFormatting sqref="D67">
    <cfRule type="expression" dxfId="32" priority="33" stopIfTrue="1">
      <formula>$C67=""</formula>
    </cfRule>
  </conditionalFormatting>
  <conditionalFormatting sqref="D68">
    <cfRule type="expression" dxfId="31" priority="32" stopIfTrue="1">
      <formula>$C68=""</formula>
    </cfRule>
  </conditionalFormatting>
  <conditionalFormatting sqref="D77">
    <cfRule type="expression" dxfId="30" priority="31" stopIfTrue="1">
      <formula>$C77=""</formula>
    </cfRule>
  </conditionalFormatting>
  <conditionalFormatting sqref="D78">
    <cfRule type="expression" dxfId="29" priority="30" stopIfTrue="1">
      <formula>$C78=""</formula>
    </cfRule>
  </conditionalFormatting>
  <conditionalFormatting sqref="D79">
    <cfRule type="expression" dxfId="28" priority="29" stopIfTrue="1">
      <formula>$C79=""</formula>
    </cfRule>
  </conditionalFormatting>
  <conditionalFormatting sqref="D80">
    <cfRule type="expression" dxfId="27" priority="28" stopIfTrue="1">
      <formula>$C80=""</formula>
    </cfRule>
  </conditionalFormatting>
  <conditionalFormatting sqref="D81">
    <cfRule type="expression" dxfId="26" priority="27" stopIfTrue="1">
      <formula>$C81=""</formula>
    </cfRule>
  </conditionalFormatting>
  <conditionalFormatting sqref="D82">
    <cfRule type="expression" dxfId="25" priority="26" stopIfTrue="1">
      <formula>$C82=""</formula>
    </cfRule>
  </conditionalFormatting>
  <conditionalFormatting sqref="D83">
    <cfRule type="expression" dxfId="24" priority="25" stopIfTrue="1">
      <formula>$C83=""</formula>
    </cfRule>
  </conditionalFormatting>
  <conditionalFormatting sqref="D84">
    <cfRule type="expression" dxfId="23" priority="24" stopIfTrue="1">
      <formula>$C84=""</formula>
    </cfRule>
  </conditionalFormatting>
  <conditionalFormatting sqref="D85">
    <cfRule type="expression" dxfId="22" priority="23" stopIfTrue="1">
      <formula>$C85=""</formula>
    </cfRule>
  </conditionalFormatting>
  <conditionalFormatting sqref="D86">
    <cfRule type="expression" dxfId="21" priority="22" stopIfTrue="1">
      <formula>$C86=""</formula>
    </cfRule>
  </conditionalFormatting>
  <conditionalFormatting sqref="D95">
    <cfRule type="expression" dxfId="20" priority="21" stopIfTrue="1">
      <formula>$C95=""</formula>
    </cfRule>
  </conditionalFormatting>
  <conditionalFormatting sqref="D96">
    <cfRule type="expression" dxfId="19" priority="20" stopIfTrue="1">
      <formula>$C96=""</formula>
    </cfRule>
  </conditionalFormatting>
  <conditionalFormatting sqref="D98">
    <cfRule type="expression" dxfId="18" priority="19" stopIfTrue="1">
      <formula>$C98=""</formula>
    </cfRule>
  </conditionalFormatting>
  <conditionalFormatting sqref="D97">
    <cfRule type="expression" dxfId="17" priority="18" stopIfTrue="1">
      <formula>$C97=""</formula>
    </cfRule>
  </conditionalFormatting>
  <conditionalFormatting sqref="D99">
    <cfRule type="expression" dxfId="16" priority="17" stopIfTrue="1">
      <formula>$C99=""</formula>
    </cfRule>
  </conditionalFormatting>
  <conditionalFormatting sqref="D100">
    <cfRule type="expression" dxfId="15" priority="16" stopIfTrue="1">
      <formula>$C100=""</formula>
    </cfRule>
  </conditionalFormatting>
  <conditionalFormatting sqref="D101">
    <cfRule type="expression" dxfId="14" priority="15" stopIfTrue="1">
      <formula>$C101=""</formula>
    </cfRule>
  </conditionalFormatting>
  <conditionalFormatting sqref="D102">
    <cfRule type="expression" dxfId="13" priority="14" stopIfTrue="1">
      <formula>$C102=""</formula>
    </cfRule>
  </conditionalFormatting>
  <conditionalFormatting sqref="D103">
    <cfRule type="expression" dxfId="12" priority="13" stopIfTrue="1">
      <formula>$C103=""</formula>
    </cfRule>
  </conditionalFormatting>
  <conditionalFormatting sqref="D104">
    <cfRule type="expression" dxfId="11" priority="12" stopIfTrue="1">
      <formula>$C104=""</formula>
    </cfRule>
  </conditionalFormatting>
  <conditionalFormatting sqref="D113">
    <cfRule type="expression" dxfId="10" priority="11" stopIfTrue="1">
      <formula>$C113=""</formula>
    </cfRule>
  </conditionalFormatting>
  <conditionalFormatting sqref="D114">
    <cfRule type="expression" dxfId="9" priority="10" stopIfTrue="1">
      <formula>$C114=""</formula>
    </cfRule>
  </conditionalFormatting>
  <conditionalFormatting sqref="D115">
    <cfRule type="expression" dxfId="8" priority="9" stopIfTrue="1">
      <formula>$C115=""</formula>
    </cfRule>
  </conditionalFormatting>
  <conditionalFormatting sqref="D116">
    <cfRule type="expression" dxfId="7" priority="8" stopIfTrue="1">
      <formula>$C116=""</formula>
    </cfRule>
  </conditionalFormatting>
  <conditionalFormatting sqref="D117">
    <cfRule type="expression" dxfId="6" priority="7" stopIfTrue="1">
      <formula>$C117=""</formula>
    </cfRule>
  </conditionalFormatting>
  <conditionalFormatting sqref="D118">
    <cfRule type="expression" dxfId="5" priority="6" stopIfTrue="1">
      <formula>$C118=""</formula>
    </cfRule>
  </conditionalFormatting>
  <conditionalFormatting sqref="D119">
    <cfRule type="expression" dxfId="4" priority="5" stopIfTrue="1">
      <formula>$C119=""</formula>
    </cfRule>
  </conditionalFormatting>
  <conditionalFormatting sqref="D120">
    <cfRule type="expression" dxfId="3" priority="4" stopIfTrue="1">
      <formula>$C120=""</formula>
    </cfRule>
  </conditionalFormatting>
  <conditionalFormatting sqref="D121">
    <cfRule type="expression" dxfId="2" priority="3" stopIfTrue="1">
      <formula>$C121=""</formula>
    </cfRule>
  </conditionalFormatting>
  <conditionalFormatting sqref="D122">
    <cfRule type="expression" dxfId="1" priority="2" stopIfTrue="1">
      <formula>$C122=""</formula>
    </cfRule>
  </conditionalFormatting>
  <conditionalFormatting sqref="D60">
    <cfRule type="expression" dxfId="0" priority="1" stopIfTrue="1">
      <formula>$C60=""</formula>
    </cfRule>
  </conditionalFormatting>
  <dataValidations count="23">
    <dataValidation type="list" allowBlank="1" showInputMessage="1" showErrorMessage="1" sqref="D12" xr:uid="{00000000-0002-0000-0100-000000000000}">
      <formula1>$AA$9:$AA$11</formula1>
    </dataValidation>
    <dataValidation type="list" allowBlank="1" showInputMessage="1" showErrorMessage="1" sqref="D21 D39" xr:uid="{00000000-0002-0000-0100-000001000000}">
      <formula1>$AA$15:$AA$17</formula1>
    </dataValidation>
    <dataValidation type="list" allowBlank="1" showInputMessage="1" showErrorMessage="1" sqref="D112" xr:uid="{00000000-0002-0000-0100-000002000000}">
      <formula1>$AA$84:$AA$95</formula1>
    </dataValidation>
    <dataValidation type="list" allowBlank="1" showInputMessage="1" showErrorMessage="1" sqref="D57 D111 D75 D93" xr:uid="{00000000-0002-0000-0100-000003000000}">
      <formula1>$AA$15:$AA$18</formula1>
    </dataValidation>
    <dataValidation type="list" allowBlank="1" showInputMessage="1" showErrorMessage="1" sqref="D18" xr:uid="{00000000-0002-0000-0100-000004000000}">
      <formula1>$AD$147:$AD$152</formula1>
    </dataValidation>
    <dataValidation type="list" allowBlank="1" showInputMessage="1" showErrorMessage="1" sqref="D58" xr:uid="{00000000-0002-0000-0100-000005000000}">
      <formula1>$AA$45:$AA$56</formula1>
    </dataValidation>
    <dataValidation type="list" allowBlank="1" showInputMessage="1" showErrorMessage="1" sqref="D76" xr:uid="{00000000-0002-0000-0100-000006000000}">
      <formula1>$AA$58:$AA$69</formula1>
    </dataValidation>
    <dataValidation type="list" allowBlank="1" showInputMessage="1" showErrorMessage="1" sqref="D94" xr:uid="{00000000-0002-0000-0100-000007000000}">
      <formula1>$AA$71:$AA$82</formula1>
    </dataValidation>
    <dataValidation type="list" allowBlank="1" showInputMessage="1" showErrorMessage="1" sqref="D33:D36 D69:D72 D51:D54 D87:D90 D105:D108 D123:D126" xr:uid="{00000000-0002-0000-0100-000008000000}">
      <formula1>$AA$1:$AA$2</formula1>
    </dataValidation>
    <dataValidation type="list" allowBlank="1" showInputMessage="1" showErrorMessage="1" sqref="D22" xr:uid="{00000000-0002-0000-0100-000009000000}">
      <formula1>$AA$19:$AA$30</formula1>
    </dataValidation>
    <dataValidation type="list" allowBlank="1" showInputMessage="1" showErrorMessage="1" sqref="D40" xr:uid="{00000000-0002-0000-0100-00000A000000}">
      <formula1>$AA$32:$AA$43</formula1>
    </dataValidation>
    <dataValidation type="custom" allowBlank="1" showErrorMessage="1" errorTitle="Speed Invalid" error="Speed incorrect for specific source." sqref="D24" xr:uid="{00000000-0002-0000-0100-00000B000000}">
      <formula1>NOT(OR(AND(ISNUMBER(FIND(AC13,D22)),D24&gt;25),AND(ISNUMBER(FIND(AC14,D22)),D24&lt;=25)))</formula1>
    </dataValidation>
    <dataValidation type="custom" allowBlank="1" showErrorMessage="1" errorTitle="Speed Invalid" error="Speed incorrect for specific source." sqref="D28" xr:uid="{00000000-0002-0000-0100-00000C000000}">
      <formula1>NOT(OR(AND(ISNUMBER(FIND(AC13,D22)),D28&gt;25),AND(ISNUMBER(FIND(AC14,D22)),D28&lt;=25)))</formula1>
    </dataValidation>
    <dataValidation type="custom" allowBlank="1" showErrorMessage="1" errorTitle="Speed Invalid" error="Speed incorrect for specific source." sqref="D42" xr:uid="{00000000-0002-0000-0100-00000D000000}">
      <formula1>NOT(OR(AND(ISNUMBER(FIND(AC13,D40)),D42&gt;25),AND(ISNUMBER(FIND(AC14,D40)),D42&lt;=25)))</formula1>
    </dataValidation>
    <dataValidation type="custom" allowBlank="1" showErrorMessage="1" errorTitle="Speed Invalid" error="Speed incorrect for specific source." sqref="D46" xr:uid="{00000000-0002-0000-0100-00000E000000}">
      <formula1>NOT(OR(AND(ISNUMBER(FIND(AC13,D40)),D46&gt;25),AND(ISNUMBER(FIND(AC14,D40)),D46&lt;=25)))</formula1>
    </dataValidation>
    <dataValidation type="custom" allowBlank="1" showErrorMessage="1" errorTitle="Speed Invalid" error="Speed incorrect for specific source." sqref="D60" xr:uid="{00000000-0002-0000-0100-00000F000000}">
      <formula1>NOT(OR(AND(ISNUMBER(FIND(AC13,D58)),D60&gt;25),AND(ISNUMBER(FIND(AC14,D58)),D60&lt;=25)))</formula1>
    </dataValidation>
    <dataValidation type="custom" allowBlank="1" showErrorMessage="1" errorTitle="Speed Invalid" error="Speed incorrect for specific source." sqref="D64" xr:uid="{00000000-0002-0000-0100-000010000000}">
      <formula1>NOT(OR(AND(ISNUMBER(FIND(AC13,D58)),D64&gt;25),AND(ISNUMBER(FIND(AC14,D58)),D64&lt;=25)))</formula1>
    </dataValidation>
    <dataValidation type="custom" allowBlank="1" showErrorMessage="1" errorTitle="Speed Invalid" error="Speed incorrect for specific source." sqref="D78" xr:uid="{00000000-0002-0000-0100-000011000000}">
      <formula1>NOT(OR(AND(ISNUMBER(FIND(AC13,D76)),D78&gt;25),AND(ISNUMBER(FIND(AC14,D76)),D78&lt;=25)))</formula1>
    </dataValidation>
    <dataValidation type="custom" allowBlank="1" showErrorMessage="1" errorTitle="Speed Invalid" error="Speed incorrect for specific source." sqref="D82" xr:uid="{00000000-0002-0000-0100-000012000000}">
      <formula1>NOT(OR(AND(ISNUMBER(FIND(AC13,D76)),D82&gt;25),AND(ISNUMBER(FIND(AC14,D76)),D82&lt;=25)))</formula1>
    </dataValidation>
    <dataValidation type="custom" allowBlank="1" showErrorMessage="1" errorTitle="Speed Invalid" error="Speed incorrect for specific source." sqref="D96" xr:uid="{00000000-0002-0000-0100-000013000000}">
      <formula1>NOT(OR(AND(ISNUMBER(FIND(AC13,D94)),D96&gt;25),AND(ISNUMBER(FIND(AC14,D94)),D96&lt;=25)))</formula1>
    </dataValidation>
    <dataValidation type="custom" allowBlank="1" showErrorMessage="1" errorTitle="Speed Invalid" error="Speed incorrect for specific source." sqref="D100" xr:uid="{00000000-0002-0000-0100-000014000000}">
      <formula1>NOT(OR(AND(ISNUMBER(FIND(AC13,D94)),D100&gt;25),AND(ISNUMBER(FIND(AC14,D94)),D100&lt;=25)))</formula1>
    </dataValidation>
    <dataValidation type="custom" allowBlank="1" showErrorMessage="1" errorTitle="Speed Invalid" error="Speed incorrect for specific source." sqref="D114" xr:uid="{00000000-0002-0000-0100-000015000000}">
      <formula1>NOT(OR(AND(ISNUMBER(FIND(AC13,D112)),D114&gt;25),AND(ISNUMBER(FIND(AC14,D112)),D114&lt;=25)))</formula1>
    </dataValidation>
    <dataValidation type="custom" allowBlank="1" showErrorMessage="1" errorTitle="Speed Invalid" error="Speed incorrect for specific source." sqref="D118" xr:uid="{00000000-0002-0000-0100-000016000000}">
      <formula1>NOT(OR(AND(ISNUMBER(FIND(AC13,D112)),D118&gt;25),AND(ISNUMBER(FIND(AC14,D112)),D118&lt;=25)))</formula1>
    </dataValidation>
  </dataValidations>
  <pageMargins left="0.75" right="0.75" top="1" bottom="1" header="0.5" footer="0.5"/>
  <pageSetup orientation="portrait" horizontalDpi="4294967292" verticalDpi="4294967292"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7:I27"/>
  <sheetViews>
    <sheetView showGridLines="0" zoomScale="75" workbookViewId="0">
      <selection activeCell="H29" sqref="H29"/>
    </sheetView>
  </sheetViews>
  <sheetFormatPr defaultColWidth="11" defaultRowHeight="12.75" x14ac:dyDescent="0.2"/>
  <cols>
    <col min="1" max="1" width="5.875" style="4" customWidth="1"/>
    <col min="2" max="2" width="4.25" style="4" customWidth="1"/>
    <col min="3" max="3" width="22.625" style="4" customWidth="1"/>
    <col min="4" max="4" width="11" style="4"/>
    <col min="5" max="5" width="12.875" style="4" customWidth="1"/>
    <col min="6" max="6" width="15.25" style="4" customWidth="1"/>
    <col min="7" max="7" width="13.625" style="4" customWidth="1"/>
    <col min="8" max="8" width="12" style="4" customWidth="1"/>
    <col min="9" max="9" width="16.75" style="4" customWidth="1"/>
    <col min="10" max="16384" width="11" style="4"/>
  </cols>
  <sheetData>
    <row r="7" spans="2:9" x14ac:dyDescent="0.2">
      <c r="C7" s="3" t="s">
        <v>104</v>
      </c>
      <c r="D7" s="4">
        <f>Calculations!D6</f>
        <v>0</v>
      </c>
    </row>
    <row r="8" spans="2:9" x14ac:dyDescent="0.2">
      <c r="C8" s="3" t="s">
        <v>72</v>
      </c>
      <c r="D8" s="4" t="str">
        <f>Calculations!D11</f>
        <v>Receiver 1</v>
      </c>
    </row>
    <row r="10" spans="2:9" x14ac:dyDescent="0.2">
      <c r="B10" s="2"/>
      <c r="C10" s="2"/>
      <c r="D10" s="159"/>
      <c r="E10" s="159"/>
      <c r="F10" s="159"/>
      <c r="G10" s="182" t="s">
        <v>20</v>
      </c>
      <c r="H10" s="182"/>
      <c r="I10" s="159"/>
    </row>
    <row r="11" spans="2:9" ht="13.5" thickBot="1" x14ac:dyDescent="0.25">
      <c r="B11" s="5"/>
      <c r="C11" s="5" t="s">
        <v>29</v>
      </c>
      <c r="D11" s="6" t="s">
        <v>19</v>
      </c>
      <c r="E11" s="6" t="str">
        <f>IF(Calculations!D12=Calculations!AA10,"Project Ldn","Project Leqh")</f>
        <v>Project Ldn</v>
      </c>
      <c r="F11" s="6" t="str">
        <f>IF(Calculations!D12=Calculations!AA10,"Existing Ldn","Existing Leqh")</f>
        <v>Existing Ldn</v>
      </c>
      <c r="G11" s="6" t="s">
        <v>21</v>
      </c>
      <c r="H11" s="6" t="s">
        <v>22</v>
      </c>
      <c r="I11" s="6" t="s">
        <v>59</v>
      </c>
    </row>
    <row r="12" spans="2:9" ht="13.5" thickTop="1" x14ac:dyDescent="0.2">
      <c r="B12" s="4">
        <v>1</v>
      </c>
      <c r="C12" s="4" t="str">
        <f>Calculations!D22</f>
        <v>Diesel Electric Locomotive</v>
      </c>
      <c r="D12" s="7">
        <f>Calculations!D31</f>
        <v>50</v>
      </c>
      <c r="E12" s="42">
        <f>IF(Calculations!$D$12=Calculations!$AA$10,Calculations!H25,Calculations!H23)</f>
        <v>59.280993120779939</v>
      </c>
      <c r="F12" s="8">
        <f>Calculations!H8</f>
        <v>60</v>
      </c>
      <c r="G12" s="8">
        <f>Calculations!AU5</f>
        <v>57.791920000000012</v>
      </c>
      <c r="H12" s="8">
        <f>Calculations!AU6</f>
        <v>63.396199999999993</v>
      </c>
      <c r="I12" s="9" t="str">
        <f>IF(E12&gt;G12,IF(E12&gt;H12,"Severe Impact"," Moderate Impact"),"None")</f>
        <v xml:space="preserve"> Moderate Impact</v>
      </c>
    </row>
    <row r="13" spans="2:9" x14ac:dyDescent="0.2">
      <c r="B13" s="4">
        <v>2</v>
      </c>
      <c r="C13" s="4" t="str">
        <f>IF(Calculations!D18&gt;1,Calculations!D40,"--")</f>
        <v>Rail Car</v>
      </c>
      <c r="D13" s="7">
        <f>Calculations!D49</f>
        <v>50</v>
      </c>
      <c r="E13" s="42">
        <f>IF(Calculations!$D$12=Calculations!$AA$10,Calculations!H43,Calculations!H41)</f>
        <v>51.144905277734892</v>
      </c>
      <c r="F13" s="8">
        <f>Calculations!H8</f>
        <v>60</v>
      </c>
      <c r="G13" s="8">
        <f t="shared" ref="G13:H18" si="0">G12</f>
        <v>57.791920000000012</v>
      </c>
      <c r="H13" s="8">
        <f t="shared" si="0"/>
        <v>63.396199999999993</v>
      </c>
      <c r="I13" s="9" t="str">
        <f t="shared" ref="I13:I18" si="1">IF(E13="","",IF(E13&gt;G13,IF(E13&gt;H13,"Severe Impact","Moderate Impact"),"None"))</f>
        <v>None</v>
      </c>
    </row>
    <row r="14" spans="2:9" x14ac:dyDescent="0.2">
      <c r="B14" s="4">
        <v>3</v>
      </c>
      <c r="C14" s="4" t="str">
        <f>IF(Calculations!D18&gt;2,Calculations!D58,"--")</f>
        <v>--</v>
      </c>
      <c r="D14" s="7">
        <f>Calculations!D67</f>
        <v>50</v>
      </c>
      <c r="E14" s="42" t="str">
        <f>IF(Calculations!$D$12=Calculations!$AA$10,Calculations!H61,Calculations!H59)</f>
        <v/>
      </c>
      <c r="F14" s="8">
        <f>Calculations!H8</f>
        <v>60</v>
      </c>
      <c r="G14" s="8">
        <f t="shared" si="0"/>
        <v>57.791920000000012</v>
      </c>
      <c r="H14" s="8">
        <f t="shared" si="0"/>
        <v>63.396199999999993</v>
      </c>
      <c r="I14" s="9" t="str">
        <f t="shared" si="1"/>
        <v/>
      </c>
    </row>
    <row r="15" spans="2:9" x14ac:dyDescent="0.2">
      <c r="B15" s="4">
        <v>4</v>
      </c>
      <c r="C15" s="4" t="str">
        <f>IF(Calculations!D18&gt;3,Calculations!D76,"--")</f>
        <v>--</v>
      </c>
      <c r="D15" s="7">
        <f>Calculations!D85</f>
        <v>70</v>
      </c>
      <c r="E15" s="42" t="str">
        <f>IF(Calculations!$D$12=Calculations!$AA$10,Calculations!H79,Calculations!H77)</f>
        <v/>
      </c>
      <c r="F15" s="8">
        <f>Calculations!H8</f>
        <v>60</v>
      </c>
      <c r="G15" s="8">
        <f t="shared" si="0"/>
        <v>57.791920000000012</v>
      </c>
      <c r="H15" s="8">
        <f t="shared" si="0"/>
        <v>63.396199999999993</v>
      </c>
      <c r="I15" s="9" t="str">
        <f t="shared" si="1"/>
        <v/>
      </c>
    </row>
    <row r="16" spans="2:9" x14ac:dyDescent="0.2">
      <c r="B16" s="4">
        <v>5</v>
      </c>
      <c r="C16" s="4" t="str">
        <f>IF(Calculations!D18&gt;4,Calculations!D94,"--")</f>
        <v>--</v>
      </c>
      <c r="D16" s="7">
        <f>Calculations!D103</f>
        <v>0</v>
      </c>
      <c r="E16" s="42" t="str">
        <f>IF(Calculations!$D$12=Calculations!$AA$10,Calculations!H97,Calculations!H95)</f>
        <v/>
      </c>
      <c r="F16" s="8">
        <f>Calculations!H8</f>
        <v>60</v>
      </c>
      <c r="G16" s="8">
        <f t="shared" si="0"/>
        <v>57.791920000000012</v>
      </c>
      <c r="H16" s="8">
        <f t="shared" si="0"/>
        <v>63.396199999999993</v>
      </c>
      <c r="I16" s="9" t="str">
        <f t="shared" si="1"/>
        <v/>
      </c>
    </row>
    <row r="17" spans="2:9" ht="13.5" thickBot="1" x14ac:dyDescent="0.25">
      <c r="B17" s="10">
        <v>6</v>
      </c>
      <c r="C17" s="10" t="str">
        <f>IF(Calculations!D18&gt;5,Calculations!D112,"--")</f>
        <v>--</v>
      </c>
      <c r="D17" s="11">
        <f>Calculations!D121</f>
        <v>0</v>
      </c>
      <c r="E17" s="43" t="str">
        <f>IF(Calculations!$D$12=Calculations!$AA$10,Calculations!H115,Calculations!H113)</f>
        <v/>
      </c>
      <c r="F17" s="12">
        <f>Calculations!H8</f>
        <v>60</v>
      </c>
      <c r="G17" s="12">
        <f t="shared" si="0"/>
        <v>57.791920000000012</v>
      </c>
      <c r="H17" s="12">
        <f t="shared" si="0"/>
        <v>63.396199999999993</v>
      </c>
      <c r="I17" s="13" t="str">
        <f t="shared" si="1"/>
        <v/>
      </c>
    </row>
    <row r="18" spans="2:9" ht="13.5" thickTop="1" x14ac:dyDescent="0.2">
      <c r="C18" s="2" t="s">
        <v>156</v>
      </c>
      <c r="D18" s="159"/>
      <c r="E18" s="14">
        <f>Calculations!H9</f>
        <v>59.901545594533488</v>
      </c>
      <c r="F18" s="14">
        <f>Calculations!H8</f>
        <v>60</v>
      </c>
      <c r="G18" s="14">
        <f t="shared" si="0"/>
        <v>57.791920000000012</v>
      </c>
      <c r="H18" s="14">
        <f t="shared" si="0"/>
        <v>63.396199999999993</v>
      </c>
      <c r="I18" s="159" t="str">
        <f t="shared" si="1"/>
        <v>Moderate Impact</v>
      </c>
    </row>
    <row r="20" spans="2:9" x14ac:dyDescent="0.2">
      <c r="E20" s="183"/>
    </row>
    <row r="25" spans="2:9" x14ac:dyDescent="0.2">
      <c r="E25" s="183"/>
    </row>
    <row r="27" spans="2:9" x14ac:dyDescent="0.2">
      <c r="E27" s="183"/>
    </row>
  </sheetData>
  <sheetProtection sheet="1" objects="1" scenarios="1" selectLockedCells="1"/>
  <mergeCells count="1">
    <mergeCell ref="G10:H10"/>
  </mergeCells>
  <phoneticPr fontId="3"/>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
  <sheetViews>
    <sheetView showGridLines="0" showRowColHeaders="0" zoomScale="50" workbookViewId="0">
      <selection activeCell="Y29" sqref="Y29"/>
    </sheetView>
  </sheetViews>
  <sheetFormatPr defaultColWidth="11" defaultRowHeight="12.75" x14ac:dyDescent="0.2"/>
  <cols>
    <col min="1" max="16384" width="11" style="4"/>
  </cols>
  <sheetData/>
  <sheetProtection sheet="1" objects="1" scenarios="1" selectLockedCells="1"/>
  <phoneticPr fontId="3" type="noConversion"/>
  <pageMargins left="0.75" right="0.75" top="1" bottom="1" header="0.5" footer="0.5"/>
  <pageSetup scale="56" orientation="landscape" horizontalDpi="4294967293"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Calculations</vt:lpstr>
      <vt:lpstr>Report</vt:lpstr>
      <vt:lpstr>Impact Plots</vt:lpstr>
      <vt:lpstr>LeqDay</vt:lpstr>
      <vt:lpstr>LeqNight</vt:lpstr>
      <vt:lpstr>Parameters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Singleton</dc:creator>
  <cp:lastModifiedBy>jsuits</cp:lastModifiedBy>
  <cp:lastPrinted>2007-06-08T19:45:38Z</cp:lastPrinted>
  <dcterms:created xsi:type="dcterms:W3CDTF">2007-05-20T23:14:30Z</dcterms:created>
  <dcterms:modified xsi:type="dcterms:W3CDTF">2019-02-01T20:20:19Z</dcterms:modified>
</cp:coreProperties>
</file>